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albeda-my.sharepoint.com/personal/scroe_albeda_nl/Documents/E-Skills/Periode 2/Werkbladen/"/>
    </mc:Choice>
  </mc:AlternateContent>
  <xr:revisionPtr revIDLastSave="0" documentId="8_{B5F76B48-F773-4C15-814D-E4983DE3788E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Opgave 7.1" sheetId="1" r:id="rId1"/>
    <sheet name="Opgave 7.2" sheetId="2" r:id="rId2"/>
    <sheet name="Opgave 7.3" sheetId="3" r:id="rId3"/>
    <sheet name="Opgave 7.4" sheetId="4" r:id="rId4"/>
    <sheet name="Opgave 7.5" sheetId="5" r:id="rId5"/>
    <sheet name="Opgave 7.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4" i="6" l="1"/>
  <c r="T64" i="6" s="1"/>
  <c r="R64" i="6"/>
  <c r="Q64" i="6"/>
  <c r="S63" i="6"/>
  <c r="R63" i="6"/>
  <c r="Q63" i="6"/>
  <c r="U63" i="6" s="1"/>
  <c r="S62" i="6"/>
  <c r="T62" i="6" s="1"/>
  <c r="R62" i="6"/>
  <c r="Q62" i="6"/>
  <c r="U62" i="6" s="1"/>
  <c r="T61" i="6"/>
  <c r="S61" i="6"/>
  <c r="R61" i="6"/>
  <c r="Q61" i="6"/>
  <c r="U61" i="6" s="1"/>
  <c r="S60" i="6"/>
  <c r="R60" i="6"/>
  <c r="T60" i="6" s="1"/>
  <c r="Q60" i="6"/>
  <c r="U60" i="6" s="1"/>
  <c r="Z59" i="6"/>
  <c r="S59" i="6"/>
  <c r="T59" i="6" s="1"/>
  <c r="R59" i="6"/>
  <c r="Q59" i="6"/>
  <c r="U59" i="6" s="1"/>
  <c r="S58" i="6"/>
  <c r="R58" i="6"/>
  <c r="T58" i="6" s="1"/>
  <c r="Q58" i="6"/>
  <c r="Z58" i="6" s="1"/>
  <c r="Z57" i="6"/>
  <c r="S57" i="6"/>
  <c r="R57" i="6"/>
  <c r="Q57" i="6"/>
  <c r="U57" i="6" s="1"/>
  <c r="S56" i="6"/>
  <c r="R56" i="6"/>
  <c r="Q56" i="6"/>
  <c r="Z56" i="6" s="1"/>
  <c r="Z55" i="6"/>
  <c r="S55" i="6"/>
  <c r="R55" i="6"/>
  <c r="Q55" i="6"/>
  <c r="U55" i="6" s="1"/>
  <c r="S54" i="6"/>
  <c r="T54" i="6" s="1"/>
  <c r="R54" i="6"/>
  <c r="Q54" i="6"/>
  <c r="U54" i="6" s="1"/>
  <c r="U53" i="6"/>
  <c r="S53" i="6"/>
  <c r="R53" i="6"/>
  <c r="T53" i="6" s="1"/>
  <c r="Q53" i="6"/>
  <c r="S52" i="6"/>
  <c r="R52" i="6"/>
  <c r="Q52" i="6"/>
  <c r="U52" i="6" s="1"/>
  <c r="S51" i="6"/>
  <c r="T51" i="6" s="1"/>
  <c r="R51" i="6"/>
  <c r="Q51" i="6"/>
  <c r="U51" i="6" s="1"/>
  <c r="S50" i="6"/>
  <c r="R50" i="6"/>
  <c r="Q50" i="6"/>
  <c r="U50" i="6" s="1"/>
  <c r="U49" i="6"/>
  <c r="S49" i="6"/>
  <c r="R49" i="6"/>
  <c r="Q49" i="6"/>
  <c r="Z49" i="6" s="1"/>
  <c r="S48" i="6"/>
  <c r="R48" i="6"/>
  <c r="Q48" i="6"/>
  <c r="U48" i="6" s="1"/>
  <c r="U47" i="6"/>
  <c r="S47" i="6"/>
  <c r="R47" i="6"/>
  <c r="Q47" i="6"/>
  <c r="U46" i="6"/>
  <c r="S46" i="6"/>
  <c r="R46" i="6"/>
  <c r="Q46" i="6"/>
  <c r="S45" i="6"/>
  <c r="T45" i="6" s="1"/>
  <c r="R45" i="6"/>
  <c r="Q45" i="6"/>
  <c r="U45" i="6" s="1"/>
  <c r="S44" i="6"/>
  <c r="T44" i="6" s="1"/>
  <c r="R44" i="6"/>
  <c r="Q44" i="6"/>
  <c r="U44" i="6" s="1"/>
  <c r="Z43" i="6"/>
  <c r="S43" i="6"/>
  <c r="R43" i="6"/>
  <c r="Q43" i="6"/>
  <c r="U43" i="6" s="1"/>
  <c r="S42" i="6"/>
  <c r="R42" i="6"/>
  <c r="Q42" i="6"/>
  <c r="U42" i="6" s="1"/>
  <c r="Z41" i="6"/>
  <c r="U41" i="6"/>
  <c r="S41" i="6"/>
  <c r="R41" i="6"/>
  <c r="Q41" i="6"/>
  <c r="S40" i="6"/>
  <c r="T40" i="6" s="1"/>
  <c r="R40" i="6"/>
  <c r="Q40" i="6"/>
  <c r="U40" i="6" s="1"/>
  <c r="Z39" i="6"/>
  <c r="U39" i="6"/>
  <c r="S39" i="6"/>
  <c r="R39" i="6"/>
  <c r="Q39" i="6"/>
  <c r="S38" i="6"/>
  <c r="T38" i="6" s="1"/>
  <c r="R38" i="6"/>
  <c r="Q38" i="6"/>
  <c r="T37" i="6"/>
  <c r="S37" i="6"/>
  <c r="R37" i="6"/>
  <c r="Q37" i="6"/>
  <c r="U37" i="6" s="1"/>
  <c r="S36" i="6"/>
  <c r="T36" i="6" s="1"/>
  <c r="R36" i="6"/>
  <c r="Q36" i="6"/>
  <c r="U36" i="6" s="1"/>
  <c r="S35" i="6"/>
  <c r="R35" i="6"/>
  <c r="Q35" i="6"/>
  <c r="Z35" i="6" s="1"/>
  <c r="S34" i="6"/>
  <c r="R34" i="6"/>
  <c r="Q34" i="6"/>
  <c r="U34" i="6" s="1"/>
  <c r="S33" i="6"/>
  <c r="R33" i="6"/>
  <c r="T33" i="6" s="1"/>
  <c r="Q33" i="6"/>
  <c r="Z33" i="6" s="1"/>
  <c r="Z32" i="6"/>
  <c r="S32" i="6"/>
  <c r="T32" i="6" s="1"/>
  <c r="R32" i="6"/>
  <c r="Q32" i="6"/>
  <c r="U32" i="6" s="1"/>
  <c r="S31" i="6"/>
  <c r="T31" i="6" s="1"/>
  <c r="R31" i="6"/>
  <c r="Q31" i="6"/>
  <c r="U31" i="6" s="1"/>
  <c r="S30" i="6"/>
  <c r="T30" i="6" s="1"/>
  <c r="R30" i="6"/>
  <c r="Q30" i="6"/>
  <c r="Z30" i="6" s="1"/>
  <c r="S29" i="6"/>
  <c r="R29" i="6"/>
  <c r="Q29" i="6"/>
  <c r="U29" i="6" s="1"/>
  <c r="S28" i="6"/>
  <c r="R28" i="6"/>
  <c r="Q28" i="6"/>
  <c r="Z28" i="6" s="1"/>
  <c r="S27" i="6"/>
  <c r="R27" i="6"/>
  <c r="Q27" i="6"/>
  <c r="U27" i="6" s="1"/>
  <c r="S26" i="6"/>
  <c r="T26" i="6" s="1"/>
  <c r="R26" i="6"/>
  <c r="Q26" i="6"/>
  <c r="U26" i="6" s="1"/>
  <c r="S25" i="6"/>
  <c r="R25" i="6"/>
  <c r="Q25" i="6"/>
  <c r="U25" i="6" s="1"/>
  <c r="S24" i="6"/>
  <c r="T24" i="6" s="1"/>
  <c r="R24" i="6"/>
  <c r="Q24" i="6"/>
  <c r="U24" i="6" s="1"/>
  <c r="S23" i="6"/>
  <c r="R23" i="6"/>
  <c r="Q23" i="6"/>
  <c r="U23" i="6" s="1"/>
  <c r="S22" i="6"/>
  <c r="R22" i="6"/>
  <c r="Q22" i="6"/>
  <c r="U22" i="6" s="1"/>
  <c r="S21" i="6"/>
  <c r="R21" i="6"/>
  <c r="Q21" i="6"/>
  <c r="U21" i="6" s="1"/>
  <c r="S20" i="6"/>
  <c r="T20" i="6" s="1"/>
  <c r="R20" i="6"/>
  <c r="Q20" i="6"/>
  <c r="U20" i="6" s="1"/>
  <c r="S19" i="6"/>
  <c r="R19" i="6"/>
  <c r="Q19" i="6"/>
  <c r="U19" i="6" s="1"/>
  <c r="S18" i="6"/>
  <c r="R18" i="6"/>
  <c r="Q18" i="6"/>
  <c r="U18" i="6" s="1"/>
  <c r="S17" i="6"/>
  <c r="T17" i="6" s="1"/>
  <c r="R17" i="6"/>
  <c r="Q17" i="6"/>
  <c r="U17" i="6" s="1"/>
  <c r="S16" i="6"/>
  <c r="R16" i="6"/>
  <c r="T16" i="6" s="1"/>
  <c r="Q16" i="6"/>
  <c r="U16" i="6" s="1"/>
  <c r="S15" i="6"/>
  <c r="R15" i="6"/>
  <c r="Q15" i="6"/>
  <c r="U15" i="6" s="1"/>
  <c r="S14" i="6"/>
  <c r="T14" i="6" s="1"/>
  <c r="R14" i="6"/>
  <c r="Q14" i="6"/>
  <c r="U14" i="6" s="1"/>
  <c r="S13" i="6"/>
  <c r="T13" i="6" s="1"/>
  <c r="R13" i="6"/>
  <c r="Q13" i="6"/>
  <c r="U13" i="6" s="1"/>
  <c r="S12" i="6"/>
  <c r="T12" i="6" s="1"/>
  <c r="R12" i="6"/>
  <c r="Q12" i="6"/>
  <c r="U12" i="6" s="1"/>
  <c r="U11" i="6"/>
  <c r="S11" i="6"/>
  <c r="T11" i="6" s="1"/>
  <c r="R11" i="6"/>
  <c r="Q11" i="6"/>
  <c r="S10" i="6"/>
  <c r="R10" i="6"/>
  <c r="Q10" i="6"/>
  <c r="U10" i="6" s="1"/>
  <c r="S9" i="6"/>
  <c r="R9" i="6"/>
  <c r="T9" i="6" s="1"/>
  <c r="Q9" i="6"/>
  <c r="Z9" i="6" s="1"/>
  <c r="Z8" i="6"/>
  <c r="S8" i="6"/>
  <c r="T8" i="6" s="1"/>
  <c r="R8" i="6"/>
  <c r="Q8" i="6"/>
  <c r="U8" i="6" s="1"/>
  <c r="S7" i="6"/>
  <c r="R7" i="6"/>
  <c r="Q7" i="6"/>
  <c r="U7" i="6" s="1"/>
  <c r="Z6" i="6"/>
  <c r="U6" i="6"/>
  <c r="S6" i="6"/>
  <c r="R6" i="6"/>
  <c r="Q6" i="6"/>
  <c r="E9" i="3"/>
  <c r="E8" i="3"/>
  <c r="E7" i="3"/>
  <c r="E6" i="3"/>
  <c r="E5" i="3"/>
  <c r="Z25" i="6" l="1"/>
  <c r="T19" i="6"/>
  <c r="T21" i="6"/>
  <c r="T28" i="6"/>
  <c r="U30" i="6"/>
  <c r="Z36" i="6"/>
  <c r="T42" i="6"/>
  <c r="T46" i="6"/>
  <c r="T47" i="6"/>
  <c r="T7" i="6"/>
  <c r="T10" i="6"/>
  <c r="Z34" i="6"/>
  <c r="Z44" i="6"/>
  <c r="T50" i="6"/>
  <c r="T18" i="6"/>
  <c r="Z63" i="6"/>
  <c r="T22" i="6"/>
  <c r="T35" i="6"/>
  <c r="T43" i="6"/>
  <c r="T25" i="6"/>
  <c r="Z45" i="6"/>
  <c r="T56" i="6"/>
  <c r="T23" i="6"/>
  <c r="T29" i="6"/>
  <c r="Z24" i="6"/>
  <c r="T34" i="6"/>
  <c r="T57" i="6"/>
  <c r="T15" i="6"/>
  <c r="Z40" i="6"/>
  <c r="T48" i="6"/>
  <c r="T55" i="6"/>
  <c r="T6" i="6"/>
  <c r="U9" i="6"/>
  <c r="U33" i="6"/>
  <c r="T41" i="6"/>
  <c r="T49" i="6"/>
  <c r="T63" i="6"/>
  <c r="T27" i="6"/>
  <c r="Z38" i="6"/>
  <c r="U38" i="6"/>
  <c r="U58" i="6"/>
  <c r="U28" i="6"/>
  <c r="U35" i="6"/>
  <c r="T39" i="6"/>
  <c r="T52" i="6"/>
  <c r="U56" i="6"/>
  <c r="Z64" i="6"/>
  <c r="U64" i="6"/>
  <c r="U66" i="6" l="1"/>
  <c r="V9" i="6" s="1"/>
  <c r="V58" i="6" l="1"/>
  <c r="V63" i="6"/>
  <c r="V34" i="6"/>
  <c r="V27" i="6"/>
  <c r="V60" i="6"/>
  <c r="V25" i="6"/>
  <c r="V22" i="6"/>
  <c r="V26" i="6"/>
  <c r="V11" i="6"/>
  <c r="V55" i="6"/>
  <c r="V23" i="6"/>
  <c r="V17" i="6"/>
  <c r="V14" i="6"/>
  <c r="V32" i="6"/>
  <c r="V6" i="6"/>
  <c r="W6" i="6" s="1"/>
  <c r="V61" i="6"/>
  <c r="V53" i="6"/>
  <c r="V39" i="6"/>
  <c r="V46" i="6"/>
  <c r="V43" i="6"/>
  <c r="V36" i="6"/>
  <c r="V42" i="6"/>
  <c r="V54" i="6"/>
  <c r="V30" i="6"/>
  <c r="V8" i="6"/>
  <c r="V7" i="6"/>
  <c r="V44" i="6"/>
  <c r="V18" i="6"/>
  <c r="V13" i="6"/>
  <c r="V31" i="6"/>
  <c r="V21" i="6"/>
  <c r="V49" i="6"/>
  <c r="V47" i="6"/>
  <c r="V48" i="6"/>
  <c r="V52" i="6"/>
  <c r="V16" i="6"/>
  <c r="V24" i="6"/>
  <c r="V15" i="6"/>
  <c r="V45" i="6"/>
  <c r="V40" i="6"/>
  <c r="V41" i="6"/>
  <c r="V50" i="6"/>
  <c r="V29" i="6"/>
  <c r="V59" i="6"/>
  <c r="V19" i="6"/>
  <c r="V10" i="6"/>
  <c r="V12" i="6"/>
  <c r="V20" i="6"/>
  <c r="V51" i="6"/>
  <c r="V62" i="6"/>
  <c r="V37" i="6"/>
  <c r="V57" i="6"/>
  <c r="V33" i="6"/>
  <c r="V56" i="6"/>
  <c r="V38" i="6"/>
  <c r="V35" i="6"/>
  <c r="V64" i="6"/>
  <c r="V28" i="6"/>
  <c r="X6" i="6" l="1"/>
  <c r="Y6" i="6" s="1"/>
  <c r="W7" i="6"/>
  <c r="X7" i="6" l="1"/>
  <c r="Y7" i="6" s="1"/>
  <c r="W8" i="6"/>
  <c r="AA6" i="6"/>
  <c r="AB6" i="6" s="1"/>
  <c r="AC6" i="6" s="1"/>
  <c r="AD6" i="6"/>
  <c r="W9" i="6" l="1"/>
  <c r="X8" i="6"/>
  <c r="Y8" i="6" s="1"/>
  <c r="AD8" i="6" l="1"/>
  <c r="AA8" i="6"/>
  <c r="AB8" i="6" s="1"/>
  <c r="AC8" i="6" s="1"/>
  <c r="X9" i="6"/>
  <c r="Y9" i="6" s="1"/>
  <c r="W10" i="6"/>
  <c r="W11" i="6" l="1"/>
  <c r="X10" i="6"/>
  <c r="Y10" i="6" s="1"/>
  <c r="AA9" i="6"/>
  <c r="AB9" i="6" s="1"/>
  <c r="AC9" i="6" s="1"/>
  <c r="AD9" i="6"/>
  <c r="W12" i="6" l="1"/>
  <c r="X11" i="6"/>
  <c r="Y11" i="6" s="1"/>
  <c r="X12" i="6" l="1"/>
  <c r="Y12" i="6" s="1"/>
  <c r="W13" i="6"/>
  <c r="X13" i="6" l="1"/>
  <c r="Y13" i="6" s="1"/>
  <c r="W14" i="6"/>
  <c r="X14" i="6" l="1"/>
  <c r="Y14" i="6" s="1"/>
  <c r="W15" i="6"/>
  <c r="W16" i="6" l="1"/>
  <c r="X15" i="6"/>
  <c r="Y15" i="6" s="1"/>
  <c r="W17" i="6" l="1"/>
  <c r="X16" i="6"/>
  <c r="Y16" i="6" s="1"/>
  <c r="X17" i="6" l="1"/>
  <c r="Y17" i="6" s="1"/>
  <c r="W18" i="6"/>
  <c r="W19" i="6" l="1"/>
  <c r="X18" i="6"/>
  <c r="Y18" i="6" s="1"/>
  <c r="W20" i="6" l="1"/>
  <c r="X19" i="6"/>
  <c r="Y19" i="6" s="1"/>
  <c r="X20" i="6" l="1"/>
  <c r="Y20" i="6" s="1"/>
  <c r="W21" i="6"/>
  <c r="W22" i="6" l="1"/>
  <c r="X21" i="6"/>
  <c r="Y21" i="6" s="1"/>
  <c r="W23" i="6" l="1"/>
  <c r="X22" i="6"/>
  <c r="Y22" i="6" s="1"/>
  <c r="W24" i="6" l="1"/>
  <c r="X23" i="6"/>
  <c r="Y23" i="6" s="1"/>
  <c r="W25" i="6" l="1"/>
  <c r="X24" i="6"/>
  <c r="Y24" i="6" s="1"/>
  <c r="AA24" i="6" l="1"/>
  <c r="AB24" i="6" s="1"/>
  <c r="AC24" i="6" s="1"/>
  <c r="AD24" i="6"/>
  <c r="W26" i="6"/>
  <c r="X25" i="6"/>
  <c r="Y25" i="6" s="1"/>
  <c r="AA25" i="6" l="1"/>
  <c r="AB25" i="6" s="1"/>
  <c r="AC25" i="6" s="1"/>
  <c r="AD25" i="6"/>
  <c r="X26" i="6"/>
  <c r="Y26" i="6" s="1"/>
  <c r="W27" i="6"/>
  <c r="W28" i="6" l="1"/>
  <c r="X27" i="6"/>
  <c r="Y27" i="6" s="1"/>
  <c r="W29" i="6" l="1"/>
  <c r="X28" i="6"/>
  <c r="Y28" i="6" s="1"/>
  <c r="AA28" i="6" l="1"/>
  <c r="AB28" i="6" s="1"/>
  <c r="AC28" i="6" s="1"/>
  <c r="AD28" i="6"/>
  <c r="W30" i="6"/>
  <c r="X29" i="6"/>
  <c r="Y29" i="6" s="1"/>
  <c r="X30" i="6" l="1"/>
  <c r="Y30" i="6" s="1"/>
  <c r="W31" i="6"/>
  <c r="X31" i="6" l="1"/>
  <c r="Y31" i="6" s="1"/>
  <c r="W32" i="6"/>
  <c r="AA30" i="6"/>
  <c r="AB30" i="6" s="1"/>
  <c r="AC30" i="6" s="1"/>
  <c r="AD30" i="6"/>
  <c r="W33" i="6" l="1"/>
  <c r="X32" i="6"/>
  <c r="Y32" i="6" s="1"/>
  <c r="AD32" i="6" l="1"/>
  <c r="AA32" i="6"/>
  <c r="AB32" i="6" s="1"/>
  <c r="AC32" i="6" s="1"/>
  <c r="X33" i="6"/>
  <c r="Y33" i="6" s="1"/>
  <c r="W34" i="6"/>
  <c r="W35" i="6" l="1"/>
  <c r="X34" i="6"/>
  <c r="Y34" i="6" s="1"/>
  <c r="AA33" i="6"/>
  <c r="AB33" i="6" s="1"/>
  <c r="AC33" i="6" s="1"/>
  <c r="AD33" i="6"/>
  <c r="AD34" i="6" l="1"/>
  <c r="AA34" i="6"/>
  <c r="AB34" i="6" s="1"/>
  <c r="AC34" i="6" s="1"/>
  <c r="X35" i="6"/>
  <c r="Y35" i="6" s="1"/>
  <c r="W36" i="6"/>
  <c r="W37" i="6" l="1"/>
  <c r="X36" i="6"/>
  <c r="Y36" i="6" s="1"/>
  <c r="AA35" i="6"/>
  <c r="AB35" i="6" s="1"/>
  <c r="AC35" i="6" s="1"/>
  <c r="AD35" i="6"/>
  <c r="AA36" i="6" l="1"/>
  <c r="AB36" i="6" s="1"/>
  <c r="AC36" i="6" s="1"/>
  <c r="AD36" i="6"/>
  <c r="W38" i="6"/>
  <c r="X37" i="6"/>
  <c r="Y37" i="6" s="1"/>
  <c r="W39" i="6" l="1"/>
  <c r="X38" i="6"/>
  <c r="Y38" i="6" s="1"/>
  <c r="AA38" i="6" l="1"/>
  <c r="AB38" i="6" s="1"/>
  <c r="AC38" i="6" s="1"/>
  <c r="AD38" i="6"/>
  <c r="X39" i="6"/>
  <c r="Y39" i="6" s="1"/>
  <c r="W40" i="6"/>
  <c r="AA39" i="6" l="1"/>
  <c r="AB39" i="6" s="1"/>
  <c r="AC39" i="6" s="1"/>
  <c r="AD39" i="6"/>
  <c r="X40" i="6"/>
  <c r="Y40" i="6" s="1"/>
  <c r="W41" i="6"/>
  <c r="AA40" i="6" l="1"/>
  <c r="AB40" i="6" s="1"/>
  <c r="AC40" i="6" s="1"/>
  <c r="AD40" i="6"/>
  <c r="X41" i="6"/>
  <c r="Y41" i="6" s="1"/>
  <c r="W42" i="6"/>
  <c r="AA41" i="6" l="1"/>
  <c r="AB41" i="6" s="1"/>
  <c r="AC41" i="6" s="1"/>
  <c r="AD41" i="6"/>
  <c r="W43" i="6"/>
  <c r="X42" i="6"/>
  <c r="Y42" i="6" s="1"/>
  <c r="W44" i="6" l="1"/>
  <c r="X43" i="6"/>
  <c r="Y43" i="6" s="1"/>
  <c r="AA43" i="6" l="1"/>
  <c r="AB43" i="6" s="1"/>
  <c r="AC43" i="6" s="1"/>
  <c r="AD43" i="6"/>
  <c r="X44" i="6"/>
  <c r="Y44" i="6" s="1"/>
  <c r="W45" i="6"/>
  <c r="AA44" i="6" l="1"/>
  <c r="AB44" i="6" s="1"/>
  <c r="AC44" i="6" s="1"/>
  <c r="AD44" i="6"/>
  <c r="W46" i="6"/>
  <c r="X45" i="6"/>
  <c r="Y45" i="6" s="1"/>
  <c r="AD45" i="6" l="1"/>
  <c r="AA45" i="6"/>
  <c r="AB45" i="6" s="1"/>
  <c r="AC45" i="6" s="1"/>
  <c r="X46" i="6"/>
  <c r="Y46" i="6" s="1"/>
  <c r="W47" i="6"/>
  <c r="X47" i="6" l="1"/>
  <c r="Y47" i="6" s="1"/>
  <c r="W48" i="6"/>
  <c r="X48" i="6" l="1"/>
  <c r="Y48" i="6" s="1"/>
  <c r="W49" i="6"/>
  <c r="X49" i="6" l="1"/>
  <c r="Y49" i="6" s="1"/>
  <c r="W50" i="6"/>
  <c r="W51" i="6" l="1"/>
  <c r="X50" i="6"/>
  <c r="Y50" i="6" s="1"/>
  <c r="AA49" i="6"/>
  <c r="AB49" i="6" s="1"/>
  <c r="AC49" i="6" s="1"/>
  <c r="AD49" i="6"/>
  <c r="W52" i="6" l="1"/>
  <c r="X51" i="6"/>
  <c r="Y51" i="6" s="1"/>
  <c r="W53" i="6" l="1"/>
  <c r="X52" i="6"/>
  <c r="Y52" i="6" s="1"/>
  <c r="X53" i="6" l="1"/>
  <c r="Y53" i="6" s="1"/>
  <c r="W54" i="6"/>
  <c r="X54" i="6" l="1"/>
  <c r="Y54" i="6" s="1"/>
  <c r="W55" i="6"/>
  <c r="W56" i="6" l="1"/>
  <c r="X55" i="6"/>
  <c r="Y55" i="6" s="1"/>
  <c r="AD55" i="6" l="1"/>
  <c r="AA55" i="6"/>
  <c r="AB55" i="6" s="1"/>
  <c r="AC55" i="6" s="1"/>
  <c r="W57" i="6"/>
  <c r="X56" i="6"/>
  <c r="Y56" i="6" s="1"/>
  <c r="AA56" i="6" l="1"/>
  <c r="AB56" i="6" s="1"/>
  <c r="AC56" i="6" s="1"/>
  <c r="AD56" i="6"/>
  <c r="W58" i="6"/>
  <c r="X57" i="6"/>
  <c r="Y57" i="6" s="1"/>
  <c r="W59" i="6" l="1"/>
  <c r="X58" i="6"/>
  <c r="Y58" i="6" s="1"/>
  <c r="AA57" i="6"/>
  <c r="AB57" i="6" s="1"/>
  <c r="AC57" i="6" s="1"/>
  <c r="AD57" i="6"/>
  <c r="W60" i="6" l="1"/>
  <c r="X59" i="6"/>
  <c r="Y59" i="6" s="1"/>
  <c r="AA58" i="6"/>
  <c r="AB58" i="6" s="1"/>
  <c r="AC58" i="6" s="1"/>
  <c r="AD58" i="6"/>
  <c r="AD59" i="6" l="1"/>
  <c r="AA59" i="6"/>
  <c r="AB59" i="6" s="1"/>
  <c r="AC59" i="6" s="1"/>
  <c r="W61" i="6"/>
  <c r="X60" i="6"/>
  <c r="Y60" i="6" s="1"/>
  <c r="X61" i="6" l="1"/>
  <c r="Y61" i="6" s="1"/>
  <c r="W62" i="6"/>
  <c r="W63" i="6" l="1"/>
  <c r="X62" i="6"/>
  <c r="Y62" i="6" s="1"/>
  <c r="X63" i="6" l="1"/>
  <c r="Y63" i="6" s="1"/>
  <c r="W64" i="6"/>
  <c r="X64" i="6" s="1"/>
  <c r="Y64" i="6" s="1"/>
  <c r="AA64" i="6" l="1"/>
  <c r="AB64" i="6" s="1"/>
  <c r="AC64" i="6" s="1"/>
  <c r="AD64" i="6"/>
  <c r="AD63" i="6"/>
  <c r="AA63" i="6"/>
  <c r="AB63" i="6" s="1"/>
  <c r="AC63" i="6" s="1"/>
  <c r="AD66" i="6" l="1"/>
  <c r="AC66" i="6"/>
  <c r="AD68" i="6" s="1"/>
</calcChain>
</file>

<file path=xl/sharedStrings.xml><?xml version="1.0" encoding="utf-8"?>
<sst xmlns="http://schemas.openxmlformats.org/spreadsheetml/2006/main" count="132" uniqueCount="109">
  <si>
    <t>Naam</t>
  </si>
  <si>
    <t xml:space="preserve">Score </t>
  </si>
  <si>
    <t>Resultaat</t>
  </si>
  <si>
    <t>Peter</t>
  </si>
  <si>
    <t>Hamid</t>
  </si>
  <si>
    <t>Erica</t>
  </si>
  <si>
    <t>Hans</t>
  </si>
  <si>
    <t>Ali</t>
  </si>
  <si>
    <t>Toeslag%</t>
  </si>
  <si>
    <t>Betaalwijze</t>
  </si>
  <si>
    <t>Bedrag</t>
  </si>
  <si>
    <t>Toeslag</t>
  </si>
  <si>
    <t>Totaal</t>
  </si>
  <si>
    <t>Contant</t>
  </si>
  <si>
    <t>Pinnen</t>
  </si>
  <si>
    <t>Creditcard</t>
  </si>
  <si>
    <t>BTW laag</t>
  </si>
  <si>
    <t>BTW hoog</t>
  </si>
  <si>
    <t>Artikelgroep</t>
  </si>
  <si>
    <t>Prijs</t>
  </si>
  <si>
    <t>Aantal</t>
  </si>
  <si>
    <t>Kortings%</t>
  </si>
  <si>
    <t>BTW</t>
  </si>
  <si>
    <t>Maersk containerreparatie</t>
  </si>
  <si>
    <t>BTW:</t>
  </si>
  <si>
    <t>Toeslag:</t>
  </si>
  <si>
    <t>Uurtarief:</t>
  </si>
  <si>
    <t>Bedrijf</t>
  </si>
  <si>
    <t>Containernr</t>
  </si>
  <si>
    <t>Omschrijving reparatie</t>
  </si>
  <si>
    <t>Datum</t>
  </si>
  <si>
    <t>Uren</t>
  </si>
  <si>
    <t>Materiaal</t>
  </si>
  <si>
    <t>Basisbedrag</t>
  </si>
  <si>
    <t>Subtotaal</t>
  </si>
  <si>
    <t>SUDU</t>
  </si>
  <si>
    <t>Lassen linkerdeur</t>
  </si>
  <si>
    <t>MSKU</t>
  </si>
  <si>
    <t>Reparatie dak</t>
  </si>
  <si>
    <t>JLLU</t>
  </si>
  <si>
    <t>Uitdeuken zijkant</t>
  </si>
  <si>
    <t>OCLU</t>
  </si>
  <si>
    <t>Verstevigen onderzijde</t>
  </si>
  <si>
    <t>NYKE</t>
  </si>
  <si>
    <t>Nieuwe houten vloer</t>
  </si>
  <si>
    <t>Nieuwe stijl linksachter</t>
  </si>
  <si>
    <t>Vervangen rechterdeur</t>
  </si>
  <si>
    <t>AJCU</t>
  </si>
  <si>
    <t>Deel vervangen achterwand</t>
  </si>
  <si>
    <t>Reparatie linkerdeur</t>
  </si>
  <si>
    <t>Budgettering</t>
  </si>
  <si>
    <t>Project: MVO</t>
  </si>
  <si>
    <t>Taak</t>
  </si>
  <si>
    <t>Eigenaar</t>
  </si>
  <si>
    <t>Budget</t>
  </si>
  <si>
    <t>Uitgegeven</t>
  </si>
  <si>
    <t>Voortgang 1</t>
  </si>
  <si>
    <t>Voortgang 2</t>
  </si>
  <si>
    <t>Voortgang 3</t>
  </si>
  <si>
    <t>Taak 1</t>
  </si>
  <si>
    <t>taak 2</t>
  </si>
  <si>
    <t>Taak 3</t>
  </si>
  <si>
    <t>Taak 4</t>
  </si>
  <si>
    <t>Taak 5</t>
  </si>
  <si>
    <t>Taak 6</t>
  </si>
  <si>
    <t>Ester</t>
  </si>
  <si>
    <t>Taak 7</t>
  </si>
  <si>
    <t>Taak 8</t>
  </si>
  <si>
    <t>Taak 9</t>
  </si>
  <si>
    <t>Taak 10</t>
  </si>
  <si>
    <t>A</t>
  </si>
  <si>
    <t>Serv. Level</t>
  </si>
  <si>
    <t>RRR</t>
  </si>
  <si>
    <t>B</t>
  </si>
  <si>
    <t>Bestelkosten</t>
  </si>
  <si>
    <t>C</t>
  </si>
  <si>
    <t>Wegloop%</t>
  </si>
  <si>
    <t>Artikel Code</t>
  </si>
  <si>
    <t>Inkoopprijs</t>
  </si>
  <si>
    <t>Verkoopprijs</t>
  </si>
  <si>
    <t>Levertijd (m)</t>
  </si>
  <si>
    <t xml:space="preserve">Afzet jan. </t>
  </si>
  <si>
    <t>Afzet  feb.</t>
  </si>
  <si>
    <t>Afzet  mrt.</t>
  </si>
  <si>
    <t>Afzet  april.</t>
  </si>
  <si>
    <t>Afzet  mei</t>
  </si>
  <si>
    <t>Afzet  juni</t>
  </si>
  <si>
    <t>Afzet  juli</t>
  </si>
  <si>
    <t>Afzet  aug.</t>
  </si>
  <si>
    <t>Afzet  sept.</t>
  </si>
  <si>
    <t>Afzet  okt.</t>
  </si>
  <si>
    <t>Afzet nov</t>
  </si>
  <si>
    <t>Afzet dec</t>
  </si>
  <si>
    <t>Jaarafzet</t>
  </si>
  <si>
    <t>Gem.afzet</t>
  </si>
  <si>
    <t>St.dev</t>
  </si>
  <si>
    <t>Normaal</t>
  </si>
  <si>
    <t>Jaaromzet</t>
  </si>
  <si>
    <t>%Omzet</t>
  </si>
  <si>
    <t>%Cum.omzet</t>
  </si>
  <si>
    <t>ABC</t>
  </si>
  <si>
    <t>SL</t>
  </si>
  <si>
    <t>Q</t>
  </si>
  <si>
    <t>Vv</t>
  </si>
  <si>
    <t>Gem. voorraad</t>
  </si>
  <si>
    <t>Kost.Voorraad</t>
  </si>
  <si>
    <t>Nee-kosten</t>
  </si>
  <si>
    <t>Totaal:</t>
  </si>
  <si>
    <t>Generaal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</si>
</sst>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0.0%"/>
    <numFmt numFmtId="165" formatCode="_-&quot;€&quot;\ * #,##0.00_-;_-&quot;€&quot;\ * #,##0.00\-;_-&quot;€&quot;\ * &quot;-&quot;??_-;_-@_-"/>
    <numFmt numFmtId="166" formatCode="&quot;€&quot;\ #,##0.00_-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0" fillId="0" borderId="0" xfId="0" applyNumberFormat="1"/>
    <xf numFmtId="8" fontId="0" fillId="0" borderId="0" xfId="0" applyNumberFormat="1"/>
    <xf numFmtId="9" fontId="0" fillId="0" borderId="0" xfId="0" applyNumberFormat="1"/>
    <xf numFmtId="0" fontId="2" fillId="0" borderId="0" xfId="0" applyFont="1"/>
    <xf numFmtId="44" fontId="0" fillId="0" borderId="0" xfId="1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164" fontId="4" fillId="0" borderId="0" xfId="0" applyNumberFormat="1" applyFont="1" applyFill="1" applyBorder="1"/>
    <xf numFmtId="166" fontId="4" fillId="0" borderId="0" xfId="1" applyNumberFormat="1" applyFont="1" applyFill="1" applyBorder="1"/>
    <xf numFmtId="14" fontId="4" fillId="0" borderId="0" xfId="0" applyNumberFormat="1" applyFont="1" applyFill="1" applyBorder="1"/>
    <xf numFmtId="167" fontId="4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9" fontId="0" fillId="0" borderId="0" xfId="2" applyFont="1"/>
    <xf numFmtId="0" fontId="6" fillId="0" borderId="0" xfId="0" applyFont="1"/>
    <xf numFmtId="9" fontId="0" fillId="0" borderId="0" xfId="1" applyNumberFormat="1" applyFont="1"/>
    <xf numFmtId="0" fontId="6" fillId="0" borderId="0" xfId="1" applyNumberFormat="1" applyFont="1"/>
    <xf numFmtId="0" fontId="0" fillId="0" borderId="0" xfId="1" applyNumberFormat="1" applyFont="1"/>
    <xf numFmtId="1" fontId="5" fillId="0" borderId="0" xfId="0" applyNumberFormat="1" applyFont="1"/>
    <xf numFmtId="44" fontId="5" fillId="0" borderId="0" xfId="1" applyFont="1"/>
    <xf numFmtId="0" fontId="5" fillId="0" borderId="0" xfId="1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1" fontId="0" fillId="0" borderId="0" xfId="0" applyNumberFormat="1"/>
    <xf numFmtId="167" fontId="0" fillId="0" borderId="0" xfId="0" applyNumberFormat="1" applyAlignment="1">
      <alignment horizontal="center"/>
    </xf>
    <xf numFmtId="10" fontId="0" fillId="0" borderId="0" xfId="2" applyNumberFormat="1" applyFont="1"/>
    <xf numFmtId="0" fontId="0" fillId="0" borderId="0" xfId="0" applyAlignment="1">
      <alignment horizontal="center"/>
    </xf>
    <xf numFmtId="164" fontId="0" fillId="0" borderId="0" xfId="2" applyNumberFormat="1" applyFo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N20" sqref="N20"/>
    </sheetView>
  </sheetViews>
  <sheetFormatPr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>
        <v>4.8</v>
      </c>
    </row>
    <row r="3" spans="1:3" x14ac:dyDescent="0.35">
      <c r="A3" t="s">
        <v>4</v>
      </c>
      <c r="B3">
        <v>7.1</v>
      </c>
    </row>
    <row r="4" spans="1:3" x14ac:dyDescent="0.35">
      <c r="A4" t="s">
        <v>5</v>
      </c>
      <c r="B4">
        <v>5.8</v>
      </c>
    </row>
    <row r="5" spans="1:3" x14ac:dyDescent="0.35">
      <c r="A5" t="s">
        <v>6</v>
      </c>
      <c r="B5">
        <v>6.2</v>
      </c>
    </row>
    <row r="6" spans="1:3" x14ac:dyDescent="0.35">
      <c r="A6" t="s">
        <v>7</v>
      </c>
      <c r="B6">
        <v>5.0999999999999996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sqref="A1:K1048576"/>
    </sheetView>
  </sheetViews>
  <sheetFormatPr defaultRowHeight="14.5" x14ac:dyDescent="0.35"/>
  <sheetData>
    <row r="1" spans="1:4" x14ac:dyDescent="0.35">
      <c r="A1" t="s">
        <v>8</v>
      </c>
      <c r="B1" s="1">
        <v>3.5000000000000003E-2</v>
      </c>
    </row>
    <row r="3" spans="1:4" x14ac:dyDescent="0.35">
      <c r="A3" t="s">
        <v>9</v>
      </c>
      <c r="B3" t="s">
        <v>10</v>
      </c>
      <c r="C3" t="s">
        <v>11</v>
      </c>
      <c r="D3" t="s">
        <v>12</v>
      </c>
    </row>
    <row r="4" spans="1:4" x14ac:dyDescent="0.35">
      <c r="A4" t="s">
        <v>13</v>
      </c>
      <c r="B4" s="2">
        <v>125.9</v>
      </c>
    </row>
    <row r="5" spans="1:4" x14ac:dyDescent="0.35">
      <c r="A5" t="s">
        <v>14</v>
      </c>
      <c r="B5" s="2">
        <v>8.9499999999999993</v>
      </c>
    </row>
    <row r="6" spans="1:4" x14ac:dyDescent="0.35">
      <c r="A6" t="s">
        <v>15</v>
      </c>
      <c r="B6" s="2">
        <v>345.5</v>
      </c>
    </row>
    <row r="7" spans="1:4" x14ac:dyDescent="0.35">
      <c r="A7" t="s">
        <v>13</v>
      </c>
      <c r="B7" s="2">
        <v>50</v>
      </c>
    </row>
    <row r="8" spans="1:4" x14ac:dyDescent="0.35">
      <c r="A8" t="s">
        <v>15</v>
      </c>
      <c r="B8" s="2">
        <v>12.25</v>
      </c>
    </row>
    <row r="9" spans="1:4" x14ac:dyDescent="0.35">
      <c r="A9" t="s">
        <v>15</v>
      </c>
      <c r="B9" s="2">
        <v>23.75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G39" sqref="G39"/>
    </sheetView>
  </sheetViews>
  <sheetFormatPr defaultRowHeight="14.5" x14ac:dyDescent="0.35"/>
  <cols>
    <col min="1" max="1" width="10.54296875" bestFit="1" customWidth="1"/>
    <col min="2" max="2" width="8.54296875" bestFit="1" customWidth="1"/>
    <col min="3" max="3" width="5.81640625" bestFit="1" customWidth="1"/>
    <col min="4" max="4" width="8.54296875" bestFit="1" customWidth="1"/>
    <col min="5" max="5" width="8.81640625" bestFit="1" customWidth="1"/>
    <col min="6" max="7" width="7.54296875" customWidth="1"/>
  </cols>
  <sheetData>
    <row r="1" spans="1:7" x14ac:dyDescent="0.35">
      <c r="B1" t="s">
        <v>16</v>
      </c>
      <c r="C1" s="3">
        <v>0.06</v>
      </c>
    </row>
    <row r="2" spans="1:7" x14ac:dyDescent="0.35">
      <c r="B2" t="s">
        <v>17</v>
      </c>
      <c r="C2" s="3">
        <v>0.21</v>
      </c>
    </row>
    <row r="4" spans="1:7" x14ac:dyDescent="0.35">
      <c r="A4" s="4" t="s">
        <v>18</v>
      </c>
      <c r="B4" s="4" t="s">
        <v>19</v>
      </c>
      <c r="C4" s="4" t="s">
        <v>20</v>
      </c>
      <c r="D4" s="4" t="s">
        <v>21</v>
      </c>
      <c r="E4" s="4" t="s">
        <v>10</v>
      </c>
      <c r="F4" s="4" t="s">
        <v>22</v>
      </c>
      <c r="G4" s="4" t="s">
        <v>12</v>
      </c>
    </row>
    <row r="5" spans="1:7" x14ac:dyDescent="0.35">
      <c r="A5">
        <v>1</v>
      </c>
      <c r="B5" s="5">
        <v>123.7</v>
      </c>
      <c r="C5">
        <v>3</v>
      </c>
      <c r="D5" s="6">
        <v>0.05</v>
      </c>
      <c r="E5" s="5">
        <f>B5*C5*(1-D5)</f>
        <v>352.54500000000002</v>
      </c>
      <c r="F5" s="7"/>
    </row>
    <row r="6" spans="1:7" x14ac:dyDescent="0.35">
      <c r="A6">
        <v>2</v>
      </c>
      <c r="B6" s="5">
        <v>8.5500000000000007</v>
      </c>
      <c r="C6">
        <v>4</v>
      </c>
      <c r="D6" s="6">
        <v>7.4999999999999997E-2</v>
      </c>
      <c r="E6" s="5">
        <f>B6*C6*(1-D6)</f>
        <v>31.635000000000005</v>
      </c>
    </row>
    <row r="7" spans="1:7" x14ac:dyDescent="0.35">
      <c r="A7">
        <v>2</v>
      </c>
      <c r="B7" s="5">
        <v>15.8</v>
      </c>
      <c r="C7">
        <v>2</v>
      </c>
      <c r="D7" s="6">
        <v>7.4999999999999997E-2</v>
      </c>
      <c r="E7" s="5">
        <f>B7*C7*(1-D7)</f>
        <v>29.230000000000004</v>
      </c>
    </row>
    <row r="8" spans="1:7" x14ac:dyDescent="0.35">
      <c r="A8">
        <v>1</v>
      </c>
      <c r="B8" s="5">
        <v>16.25</v>
      </c>
      <c r="C8">
        <v>5</v>
      </c>
      <c r="D8" s="6">
        <v>0</v>
      </c>
      <c r="E8" s="5">
        <f>B8*C8*(1-D8)</f>
        <v>81.25</v>
      </c>
    </row>
    <row r="9" spans="1:7" x14ac:dyDescent="0.35">
      <c r="A9">
        <v>2</v>
      </c>
      <c r="B9" s="5">
        <v>80.25</v>
      </c>
      <c r="C9">
        <v>7</v>
      </c>
      <c r="D9" s="6">
        <v>0.1</v>
      </c>
      <c r="E9" s="5">
        <f>B9*C9*(1-D9)</f>
        <v>505.57499999999999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workbookViewId="0">
      <selection activeCell="Q8" sqref="Q8"/>
    </sheetView>
  </sheetViews>
  <sheetFormatPr defaultRowHeight="14.5" x14ac:dyDescent="0.35"/>
  <cols>
    <col min="7" max="7" width="10.54296875" bestFit="1" customWidth="1"/>
  </cols>
  <sheetData>
    <row r="1" spans="1:11" ht="20" x14ac:dyDescent="0.4">
      <c r="A1" s="8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5">
      <c r="A3" s="10" t="s">
        <v>24</v>
      </c>
      <c r="B3" s="11">
        <v>0.21</v>
      </c>
      <c r="C3" s="9"/>
      <c r="D3" s="9"/>
      <c r="E3" s="9"/>
      <c r="F3" s="9"/>
      <c r="G3" s="9"/>
      <c r="H3" s="9"/>
      <c r="I3" s="9"/>
      <c r="J3" s="9"/>
      <c r="K3" s="9"/>
    </row>
    <row r="4" spans="1:11" x14ac:dyDescent="0.35">
      <c r="A4" s="10" t="s">
        <v>25</v>
      </c>
      <c r="B4" s="11">
        <v>0.15</v>
      </c>
      <c r="C4" s="9"/>
      <c r="D4" s="9"/>
      <c r="E4" s="9"/>
      <c r="F4" s="9"/>
      <c r="G4" s="9"/>
      <c r="H4" s="9"/>
      <c r="I4" s="9"/>
      <c r="J4" s="9"/>
      <c r="K4" s="9"/>
    </row>
    <row r="5" spans="1:11" x14ac:dyDescent="0.35">
      <c r="A5" s="10" t="s">
        <v>26</v>
      </c>
      <c r="B5" s="12">
        <v>60</v>
      </c>
      <c r="C5" s="9"/>
      <c r="D5" s="9"/>
      <c r="E5" s="9"/>
      <c r="F5" s="9"/>
      <c r="G5" s="9"/>
      <c r="H5" s="9"/>
      <c r="I5" s="9"/>
      <c r="J5" s="9"/>
      <c r="K5" s="9"/>
    </row>
    <row r="6" spans="1:1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35">
      <c r="A7" s="10" t="s">
        <v>27</v>
      </c>
      <c r="B7" s="10" t="s">
        <v>28</v>
      </c>
      <c r="C7" s="10" t="s">
        <v>29</v>
      </c>
      <c r="D7" s="10" t="s">
        <v>30</v>
      </c>
      <c r="E7" s="10" t="s">
        <v>31</v>
      </c>
      <c r="F7" s="10" t="s">
        <v>32</v>
      </c>
      <c r="G7" s="10" t="s">
        <v>33</v>
      </c>
      <c r="H7" s="10" t="s">
        <v>11</v>
      </c>
      <c r="I7" s="10" t="s">
        <v>34</v>
      </c>
      <c r="J7" s="10" t="s">
        <v>22</v>
      </c>
      <c r="K7" s="10" t="s">
        <v>12</v>
      </c>
    </row>
    <row r="8" spans="1:11" x14ac:dyDescent="0.35">
      <c r="A8" s="9" t="s">
        <v>35</v>
      </c>
      <c r="B8" s="9">
        <v>8765417</v>
      </c>
      <c r="C8" s="9" t="s">
        <v>36</v>
      </c>
      <c r="D8" s="13">
        <v>41467</v>
      </c>
      <c r="E8" s="14">
        <v>1.5</v>
      </c>
      <c r="F8" s="12">
        <v>25</v>
      </c>
      <c r="G8" s="9"/>
      <c r="H8" s="9"/>
      <c r="I8" s="9"/>
      <c r="J8" s="9"/>
      <c r="K8" s="9"/>
    </row>
    <row r="9" spans="1:11" x14ac:dyDescent="0.35">
      <c r="A9" s="15" t="s">
        <v>37</v>
      </c>
      <c r="B9" s="9">
        <v>4543212</v>
      </c>
      <c r="C9" s="9" t="s">
        <v>38</v>
      </c>
      <c r="D9" s="13">
        <v>41467</v>
      </c>
      <c r="E9" s="14">
        <v>4</v>
      </c>
      <c r="F9" s="12">
        <v>125</v>
      </c>
      <c r="G9" s="9"/>
      <c r="H9" s="9"/>
      <c r="I9" s="9"/>
      <c r="J9" s="9"/>
      <c r="K9" s="9"/>
    </row>
    <row r="10" spans="1:11" x14ac:dyDescent="0.35">
      <c r="A10" s="15" t="s">
        <v>39</v>
      </c>
      <c r="B10" s="9">
        <v>9872340</v>
      </c>
      <c r="C10" s="9" t="s">
        <v>40</v>
      </c>
      <c r="D10" s="13">
        <v>41467</v>
      </c>
      <c r="E10" s="14">
        <v>2.5</v>
      </c>
      <c r="F10" s="12">
        <v>0</v>
      </c>
      <c r="G10" s="9"/>
      <c r="H10" s="9"/>
      <c r="I10" s="9"/>
      <c r="J10" s="9"/>
      <c r="K10" s="9"/>
    </row>
    <row r="11" spans="1:11" x14ac:dyDescent="0.35">
      <c r="A11" s="15" t="s">
        <v>41</v>
      </c>
      <c r="B11" s="9">
        <v>5548768</v>
      </c>
      <c r="C11" s="9" t="s">
        <v>42</v>
      </c>
      <c r="D11" s="13">
        <v>41467</v>
      </c>
      <c r="E11" s="14">
        <v>5</v>
      </c>
      <c r="F11" s="12">
        <v>85</v>
      </c>
      <c r="G11" s="9"/>
      <c r="H11" s="9"/>
      <c r="I11" s="9"/>
      <c r="J11" s="9"/>
      <c r="K11" s="9"/>
    </row>
    <row r="12" spans="1:11" x14ac:dyDescent="0.35">
      <c r="A12" s="15" t="s">
        <v>43</v>
      </c>
      <c r="B12" s="9">
        <v>9098125</v>
      </c>
      <c r="C12" s="9" t="s">
        <v>44</v>
      </c>
      <c r="D12" s="13">
        <v>41468</v>
      </c>
      <c r="E12" s="14">
        <v>3</v>
      </c>
      <c r="F12" s="12">
        <v>485</v>
      </c>
      <c r="G12" s="9"/>
      <c r="H12" s="9"/>
      <c r="I12" s="9"/>
      <c r="J12" s="9"/>
      <c r="K12" s="9"/>
    </row>
    <row r="13" spans="1:11" x14ac:dyDescent="0.35">
      <c r="A13" s="15" t="s">
        <v>37</v>
      </c>
      <c r="B13" s="9">
        <v>7761239</v>
      </c>
      <c r="C13" s="9" t="s">
        <v>45</v>
      </c>
      <c r="D13" s="13">
        <v>41468</v>
      </c>
      <c r="E13" s="14">
        <v>2.5</v>
      </c>
      <c r="F13" s="12">
        <v>180</v>
      </c>
      <c r="G13" s="9"/>
      <c r="H13" s="9"/>
      <c r="I13" s="9"/>
      <c r="J13" s="9"/>
      <c r="K13" s="9"/>
    </row>
    <row r="14" spans="1:11" x14ac:dyDescent="0.35">
      <c r="A14" s="15" t="s">
        <v>41</v>
      </c>
      <c r="B14" s="9">
        <v>4565539</v>
      </c>
      <c r="C14" s="9" t="s">
        <v>46</v>
      </c>
      <c r="D14" s="13">
        <v>41468</v>
      </c>
      <c r="E14" s="14">
        <v>1</v>
      </c>
      <c r="F14" s="12">
        <v>145</v>
      </c>
      <c r="G14" s="9"/>
      <c r="H14" s="9"/>
      <c r="I14" s="9"/>
      <c r="J14" s="9"/>
      <c r="K14" s="9"/>
    </row>
    <row r="15" spans="1:11" x14ac:dyDescent="0.35">
      <c r="A15" s="15" t="s">
        <v>47</v>
      </c>
      <c r="B15" s="9">
        <v>1912314</v>
      </c>
      <c r="C15" s="9" t="s">
        <v>48</v>
      </c>
      <c r="D15" s="13">
        <v>41469</v>
      </c>
      <c r="E15" s="14">
        <v>1</v>
      </c>
      <c r="F15" s="12">
        <v>70</v>
      </c>
      <c r="G15" s="9"/>
      <c r="H15" s="9"/>
      <c r="I15" s="9"/>
      <c r="J15" s="9"/>
      <c r="K15" s="9"/>
    </row>
    <row r="16" spans="1:11" x14ac:dyDescent="0.35">
      <c r="A16" s="15" t="s">
        <v>37</v>
      </c>
      <c r="B16" s="9">
        <v>5564328</v>
      </c>
      <c r="C16" s="9" t="s">
        <v>49</v>
      </c>
      <c r="D16" s="13">
        <v>41469</v>
      </c>
      <c r="E16" s="14">
        <v>1</v>
      </c>
      <c r="F16" s="12">
        <v>75</v>
      </c>
      <c r="G16" s="9"/>
      <c r="H16" s="9"/>
      <c r="I16" s="9"/>
      <c r="J16" s="9"/>
      <c r="K16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workbookViewId="0">
      <selection activeCell="Q17" sqref="Q17:Q18"/>
    </sheetView>
  </sheetViews>
  <sheetFormatPr defaultRowHeight="14.5" x14ac:dyDescent="0.35"/>
  <cols>
    <col min="3" max="3" width="11" bestFit="1" customWidth="1"/>
    <col min="4" max="4" width="11.453125" bestFit="1" customWidth="1"/>
    <col min="5" max="5" width="11.26953125" customWidth="1"/>
    <col min="6" max="7" width="11.54296875" bestFit="1" customWidth="1"/>
  </cols>
  <sheetData>
    <row r="1" spans="1:7" ht="28.5" x14ac:dyDescent="0.65">
      <c r="A1" s="16" t="s">
        <v>50</v>
      </c>
    </row>
    <row r="3" spans="1:7" ht="15.5" x14ac:dyDescent="0.35">
      <c r="A3" s="17" t="s">
        <v>51</v>
      </c>
    </row>
    <row r="4" spans="1:7" x14ac:dyDescent="0.35">
      <c r="A4" s="4" t="s">
        <v>52</v>
      </c>
      <c r="B4" s="4" t="s">
        <v>53</v>
      </c>
      <c r="C4" s="18" t="s">
        <v>54</v>
      </c>
      <c r="D4" s="18" t="s">
        <v>55</v>
      </c>
      <c r="E4" s="4" t="s">
        <v>56</v>
      </c>
      <c r="F4" s="4" t="s">
        <v>57</v>
      </c>
      <c r="G4" s="4" t="s">
        <v>58</v>
      </c>
    </row>
    <row r="5" spans="1:7" x14ac:dyDescent="0.35">
      <c r="A5" t="s">
        <v>59</v>
      </c>
      <c r="B5" t="s">
        <v>5</v>
      </c>
      <c r="C5" s="5">
        <v>150</v>
      </c>
      <c r="D5" s="5">
        <v>140</v>
      </c>
      <c r="E5" s="19">
        <v>0.8</v>
      </c>
      <c r="F5" s="19">
        <v>0.8</v>
      </c>
      <c r="G5" s="19">
        <v>0.8</v>
      </c>
    </row>
    <row r="6" spans="1:7" x14ac:dyDescent="0.35">
      <c r="A6" t="s">
        <v>60</v>
      </c>
      <c r="B6" t="s">
        <v>3</v>
      </c>
      <c r="C6" s="5">
        <v>200</v>
      </c>
      <c r="D6" s="5">
        <v>290</v>
      </c>
      <c r="E6" s="19">
        <v>1</v>
      </c>
      <c r="F6" s="19">
        <v>1</v>
      </c>
      <c r="G6" s="19">
        <v>1</v>
      </c>
    </row>
    <row r="7" spans="1:7" x14ac:dyDescent="0.35">
      <c r="A7" t="s">
        <v>61</v>
      </c>
      <c r="B7" t="s">
        <v>7</v>
      </c>
      <c r="C7" s="5">
        <v>750</v>
      </c>
      <c r="D7" s="5">
        <v>750</v>
      </c>
      <c r="E7" s="19">
        <v>0.9</v>
      </c>
      <c r="F7" s="19">
        <v>0.9</v>
      </c>
      <c r="G7" s="19">
        <v>0.9</v>
      </c>
    </row>
    <row r="8" spans="1:7" x14ac:dyDescent="0.35">
      <c r="A8" t="s">
        <v>62</v>
      </c>
      <c r="B8" t="s">
        <v>5</v>
      </c>
      <c r="C8" s="5">
        <v>500</v>
      </c>
      <c r="D8" s="5">
        <v>600</v>
      </c>
      <c r="E8" s="19">
        <v>1</v>
      </c>
      <c r="F8" s="19">
        <v>1</v>
      </c>
      <c r="G8" s="19">
        <v>1</v>
      </c>
    </row>
    <row r="9" spans="1:7" x14ac:dyDescent="0.35">
      <c r="A9" t="s">
        <v>63</v>
      </c>
      <c r="B9" t="s">
        <v>6</v>
      </c>
      <c r="C9" s="5">
        <v>300</v>
      </c>
      <c r="D9" s="5">
        <v>250</v>
      </c>
      <c r="E9" s="19">
        <v>0.6</v>
      </c>
      <c r="F9" s="19">
        <v>0.6</v>
      </c>
      <c r="G9" s="19">
        <v>0.6</v>
      </c>
    </row>
    <row r="10" spans="1:7" x14ac:dyDescent="0.35">
      <c r="A10" t="s">
        <v>64</v>
      </c>
      <c r="B10" t="s">
        <v>65</v>
      </c>
      <c r="C10" s="5">
        <v>600</v>
      </c>
      <c r="D10" s="5">
        <v>900</v>
      </c>
      <c r="E10" s="19">
        <v>0.5</v>
      </c>
      <c r="F10" s="19">
        <v>0.5</v>
      </c>
      <c r="G10" s="19">
        <v>0.5</v>
      </c>
    </row>
    <row r="11" spans="1:7" x14ac:dyDescent="0.35">
      <c r="A11" t="s">
        <v>66</v>
      </c>
      <c r="B11" t="s">
        <v>6</v>
      </c>
      <c r="C11" s="5">
        <v>2000</v>
      </c>
      <c r="D11" s="5">
        <v>1500</v>
      </c>
      <c r="E11" s="19">
        <v>0.7</v>
      </c>
      <c r="F11" s="19">
        <v>0.7</v>
      </c>
      <c r="G11" s="19">
        <v>0.7</v>
      </c>
    </row>
    <row r="12" spans="1:7" x14ac:dyDescent="0.35">
      <c r="A12" t="s">
        <v>67</v>
      </c>
      <c r="B12" t="s">
        <v>7</v>
      </c>
      <c r="C12" s="5">
        <v>700</v>
      </c>
      <c r="D12" s="5">
        <v>500</v>
      </c>
      <c r="E12" s="19">
        <v>0.65</v>
      </c>
      <c r="F12" s="19">
        <v>0.65</v>
      </c>
      <c r="G12" s="19">
        <v>0.65</v>
      </c>
    </row>
    <row r="13" spans="1:7" x14ac:dyDescent="0.35">
      <c r="A13" t="s">
        <v>68</v>
      </c>
      <c r="B13" t="s">
        <v>7</v>
      </c>
      <c r="C13" s="5">
        <v>250</v>
      </c>
      <c r="D13" s="5">
        <v>100</v>
      </c>
      <c r="E13" s="19">
        <v>0.25</v>
      </c>
      <c r="F13" s="19">
        <v>0.25</v>
      </c>
      <c r="G13" s="19">
        <v>0.25</v>
      </c>
    </row>
    <row r="14" spans="1:7" x14ac:dyDescent="0.35">
      <c r="A14" t="s">
        <v>69</v>
      </c>
      <c r="B14" t="s">
        <v>3</v>
      </c>
      <c r="C14" s="5">
        <v>500</v>
      </c>
      <c r="D14" s="5">
        <v>100</v>
      </c>
      <c r="E14" s="19">
        <v>0.2</v>
      </c>
      <c r="F14" s="19">
        <v>0.2</v>
      </c>
      <c r="G14" s="19">
        <v>0.2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8"/>
  <sheetViews>
    <sheetView tabSelected="1" workbookViewId="0">
      <selection activeCell="C39" sqref="C39"/>
    </sheetView>
  </sheetViews>
  <sheetFormatPr defaultRowHeight="14.5" x14ac:dyDescent="0.35"/>
  <cols>
    <col min="1" max="2" width="10.54296875" bestFit="1" customWidth="1"/>
    <col min="3" max="3" width="11.81640625" bestFit="1" customWidth="1"/>
    <col min="4" max="4" width="10.81640625" bestFit="1" customWidth="1"/>
    <col min="5" max="5" width="10.453125" bestFit="1" customWidth="1"/>
    <col min="6" max="6" width="8.81640625" bestFit="1" customWidth="1"/>
    <col min="8" max="8" width="10" bestFit="1" customWidth="1"/>
    <col min="9" max="10" width="8.81640625" bestFit="1" customWidth="1"/>
    <col min="11" max="11" width="8.453125" bestFit="1" customWidth="1"/>
    <col min="12" max="12" width="9.453125" bestFit="1" customWidth="1"/>
    <col min="13" max="13" width="9.54296875" bestFit="1" customWidth="1"/>
    <col min="14" max="14" width="8.7265625" bestFit="1" customWidth="1"/>
    <col min="15" max="17" width="8.26953125" bestFit="1" customWidth="1"/>
    <col min="19" max="19" width="5.81640625" bestFit="1" customWidth="1"/>
    <col min="20" max="20" width="7.54296875" bestFit="1" customWidth="1"/>
    <col min="21" max="21" width="14.54296875" bestFit="1" customWidth="1"/>
    <col min="22" max="22" width="7.26953125" bestFit="1" customWidth="1"/>
    <col min="23" max="23" width="11.1796875" bestFit="1" customWidth="1"/>
    <col min="24" max="24" width="4.26953125" bestFit="1" customWidth="1"/>
    <col min="25" max="25" width="5.7265625" bestFit="1" customWidth="1"/>
    <col min="26" max="27" width="3.81640625" bestFit="1" customWidth="1"/>
    <col min="28" max="28" width="12.7265625" bestFit="1" customWidth="1"/>
    <col min="29" max="29" width="12.1796875" bestFit="1" customWidth="1"/>
    <col min="30" max="30" width="12.453125" bestFit="1" customWidth="1"/>
  </cols>
  <sheetData>
    <row r="1" spans="1:30" x14ac:dyDescent="0.35">
      <c r="A1" s="20" t="s">
        <v>70</v>
      </c>
      <c r="B1" s="21">
        <v>0.99249960463195708</v>
      </c>
      <c r="C1" s="22" t="s">
        <v>71</v>
      </c>
      <c r="D1" s="23"/>
      <c r="E1" s="20" t="s">
        <v>72</v>
      </c>
      <c r="F1" s="3">
        <v>0.13</v>
      </c>
    </row>
    <row r="2" spans="1:30" x14ac:dyDescent="0.35">
      <c r="A2" s="20" t="s">
        <v>73</v>
      </c>
      <c r="B2" s="21">
        <v>0.95</v>
      </c>
      <c r="C2" s="22" t="s">
        <v>71</v>
      </c>
      <c r="D2" s="23"/>
      <c r="E2" s="20" t="s">
        <v>74</v>
      </c>
      <c r="F2" s="5">
        <v>95</v>
      </c>
    </row>
    <row r="3" spans="1:30" x14ac:dyDescent="0.35">
      <c r="A3" s="20" t="s">
        <v>75</v>
      </c>
      <c r="B3" s="21">
        <v>0.9</v>
      </c>
      <c r="C3" s="22" t="s">
        <v>71</v>
      </c>
      <c r="D3" s="23"/>
      <c r="E3" s="20" t="s">
        <v>76</v>
      </c>
      <c r="F3" s="3">
        <v>0.35</v>
      </c>
    </row>
    <row r="4" spans="1:30" x14ac:dyDescent="0.35">
      <c r="B4" s="5"/>
      <c r="C4" s="5"/>
      <c r="D4" s="23"/>
    </row>
    <row r="5" spans="1:30" x14ac:dyDescent="0.35">
      <c r="A5" s="24" t="s">
        <v>77</v>
      </c>
      <c r="B5" s="25" t="s">
        <v>78</v>
      </c>
      <c r="C5" s="25" t="s">
        <v>79</v>
      </c>
      <c r="D5" s="26" t="s">
        <v>80</v>
      </c>
      <c r="E5" s="27" t="s">
        <v>81</v>
      </c>
      <c r="F5" s="24" t="s">
        <v>82</v>
      </c>
      <c r="G5" s="24" t="s">
        <v>83</v>
      </c>
      <c r="H5" s="24" t="s">
        <v>84</v>
      </c>
      <c r="I5" s="24" t="s">
        <v>85</v>
      </c>
      <c r="J5" s="24" t="s">
        <v>86</v>
      </c>
      <c r="K5" s="24" t="s">
        <v>87</v>
      </c>
      <c r="L5" s="24" t="s">
        <v>88</v>
      </c>
      <c r="M5" s="24" t="s">
        <v>89</v>
      </c>
      <c r="N5" s="24" t="s">
        <v>90</v>
      </c>
      <c r="O5" s="24" t="s">
        <v>91</v>
      </c>
      <c r="P5" s="24" t="s">
        <v>92</v>
      </c>
      <c r="Q5" s="24" t="s">
        <v>93</v>
      </c>
      <c r="R5" s="24" t="s">
        <v>94</v>
      </c>
      <c r="S5" s="24" t="s">
        <v>95</v>
      </c>
      <c r="T5" s="24" t="s">
        <v>96</v>
      </c>
      <c r="U5" s="24" t="s">
        <v>97</v>
      </c>
      <c r="V5" s="24" t="s">
        <v>98</v>
      </c>
      <c r="W5" s="24" t="s">
        <v>99</v>
      </c>
      <c r="X5" s="28" t="s">
        <v>100</v>
      </c>
      <c r="Y5" s="29" t="s">
        <v>101</v>
      </c>
      <c r="Z5" s="30" t="s">
        <v>102</v>
      </c>
      <c r="AA5" s="30" t="s">
        <v>103</v>
      </c>
      <c r="AB5" s="31" t="s">
        <v>104</v>
      </c>
      <c r="AC5" s="31" t="s">
        <v>105</v>
      </c>
      <c r="AD5" s="31" t="s">
        <v>106</v>
      </c>
    </row>
    <row r="6" spans="1:30" x14ac:dyDescent="0.35">
      <c r="A6" s="32">
        <v>20051</v>
      </c>
      <c r="B6" s="5">
        <v>919</v>
      </c>
      <c r="C6" s="5">
        <v>1250</v>
      </c>
      <c r="D6" s="23">
        <v>1.8</v>
      </c>
      <c r="E6" s="32">
        <v>214</v>
      </c>
      <c r="F6" s="32">
        <v>120</v>
      </c>
      <c r="G6" s="32">
        <v>275</v>
      </c>
      <c r="H6" s="32">
        <v>150</v>
      </c>
      <c r="I6" s="32">
        <v>152</v>
      </c>
      <c r="J6" s="32">
        <v>320</v>
      </c>
      <c r="K6" s="32">
        <v>230</v>
      </c>
      <c r="L6" s="32">
        <v>320</v>
      </c>
      <c r="M6" s="32">
        <v>250</v>
      </c>
      <c r="N6" s="32">
        <v>345</v>
      </c>
      <c r="O6" s="32">
        <v>350</v>
      </c>
      <c r="P6" s="32">
        <v>299</v>
      </c>
      <c r="Q6" s="32">
        <f t="shared" ref="Q6:Q64" si="0">SUM(E6:P6)</f>
        <v>3025</v>
      </c>
      <c r="R6" s="32">
        <f t="shared" ref="R6:R64" si="1">AVERAGE(E6:P6)</f>
        <v>252.08333333333334</v>
      </c>
      <c r="S6" s="32">
        <f t="shared" ref="S6:S64" si="2">STDEV(E6:P6)</f>
        <v>79.771786232902386</v>
      </c>
      <c r="T6" s="33" t="str">
        <f t="shared" ref="T6:T64" si="3">IF(S6/R6&lt;=1,"Ja","Nee")</f>
        <v>Ja</v>
      </c>
      <c r="U6" s="5">
        <f t="shared" ref="U6:U64" si="4">Q6*C6</f>
        <v>3781250</v>
      </c>
      <c r="V6" s="34">
        <f t="shared" ref="V6:V64" si="5">U6/$U$66</f>
        <v>6.7381188521125165E-2</v>
      </c>
      <c r="W6" s="1">
        <f>V6</f>
        <v>6.7381188521125165E-2</v>
      </c>
      <c r="X6" s="35" t="str">
        <f t="shared" ref="X6:X64" si="6">IF(W6&lt;=0.8,"A",IF(W6&lt;=0.95,"B","C"))</f>
        <v>A</v>
      </c>
      <c r="Y6" s="36">
        <f t="shared" ref="Y6:Y64" si="7">VLOOKUP(X6,$A$1:$B$3,2,FALSE)</f>
        <v>0.99249960463195708</v>
      </c>
      <c r="Z6">
        <f>ROUND(SQRT(2*Q6*$F$2/(B6*$F$1)),0)</f>
        <v>69</v>
      </c>
      <c r="AA6">
        <f>ROUND(NORMSINV(Y6)*SQRT(D6)*S6,0)</f>
        <v>260</v>
      </c>
      <c r="AB6">
        <f>Z6/2+AA6</f>
        <v>294.5</v>
      </c>
      <c r="AC6" s="7">
        <f>AB6*B6*$F$1</f>
        <v>35183.915000000001</v>
      </c>
      <c r="AD6" s="7">
        <f>Q6*(1-Y6)*$F$3*(C6-B6)</f>
        <v>2628.4854302480117</v>
      </c>
    </row>
    <row r="7" spans="1:30" x14ac:dyDescent="0.35">
      <c r="A7" s="32">
        <v>20552</v>
      </c>
      <c r="B7" s="5">
        <v>2852</v>
      </c>
      <c r="C7" s="5">
        <v>4250</v>
      </c>
      <c r="D7" s="23">
        <v>1.9</v>
      </c>
      <c r="E7" s="32">
        <v>0</v>
      </c>
      <c r="F7" s="32">
        <v>0</v>
      </c>
      <c r="G7" s="32">
        <v>0</v>
      </c>
      <c r="H7" s="32">
        <v>0</v>
      </c>
      <c r="I7" s="32">
        <v>345</v>
      </c>
      <c r="J7" s="32">
        <v>456</v>
      </c>
      <c r="K7" s="32">
        <v>45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f t="shared" si="0"/>
        <v>846</v>
      </c>
      <c r="R7" s="32">
        <f t="shared" si="1"/>
        <v>70.5</v>
      </c>
      <c r="S7" s="32">
        <f t="shared" si="2"/>
        <v>156.47915922808147</v>
      </c>
      <c r="T7" s="33" t="str">
        <f t="shared" si="3"/>
        <v>Nee</v>
      </c>
      <c r="U7" s="5">
        <f t="shared" si="4"/>
        <v>3595500</v>
      </c>
      <c r="V7" s="34">
        <f t="shared" si="5"/>
        <v>6.407115724369071E-2</v>
      </c>
      <c r="W7" s="1">
        <f t="shared" ref="W7:W64" si="8">W6+V7</f>
        <v>0.13145234576481588</v>
      </c>
      <c r="X7" s="35" t="str">
        <f t="shared" si="6"/>
        <v>A</v>
      </c>
      <c r="Y7" s="36">
        <f t="shared" si="7"/>
        <v>0.99249960463195708</v>
      </c>
    </row>
    <row r="8" spans="1:30" x14ac:dyDescent="0.35">
      <c r="A8" s="32">
        <v>28782</v>
      </c>
      <c r="B8" s="5">
        <v>326</v>
      </c>
      <c r="C8" s="5">
        <v>460</v>
      </c>
      <c r="D8" s="23">
        <v>0.9</v>
      </c>
      <c r="E8" s="32">
        <v>562</v>
      </c>
      <c r="F8" s="32">
        <v>711</v>
      </c>
      <c r="G8" s="32">
        <v>619</v>
      </c>
      <c r="H8" s="32">
        <v>721</v>
      </c>
      <c r="I8" s="32">
        <v>409</v>
      </c>
      <c r="J8" s="32">
        <v>695</v>
      </c>
      <c r="K8" s="32">
        <v>773</v>
      </c>
      <c r="L8" s="32">
        <v>732</v>
      </c>
      <c r="M8" s="32">
        <v>516</v>
      </c>
      <c r="N8" s="32">
        <v>609</v>
      </c>
      <c r="O8" s="32">
        <v>726</v>
      </c>
      <c r="P8" s="32">
        <v>636</v>
      </c>
      <c r="Q8" s="32">
        <f t="shared" si="0"/>
        <v>7709</v>
      </c>
      <c r="R8" s="32">
        <f t="shared" si="1"/>
        <v>642.41666666666663</v>
      </c>
      <c r="S8" s="32">
        <f t="shared" si="2"/>
        <v>106.32066277696617</v>
      </c>
      <c r="T8" s="33" t="str">
        <f t="shared" si="3"/>
        <v>Ja</v>
      </c>
      <c r="U8" s="5">
        <f t="shared" si="4"/>
        <v>3546140</v>
      </c>
      <c r="V8" s="34">
        <f t="shared" si="5"/>
        <v>6.3191571004906522E-2</v>
      </c>
      <c r="W8" s="1">
        <f t="shared" si="8"/>
        <v>0.1946439167697224</v>
      </c>
      <c r="X8" s="35" t="str">
        <f t="shared" si="6"/>
        <v>A</v>
      </c>
      <c r="Y8" s="36">
        <f t="shared" si="7"/>
        <v>0.99249960463195708</v>
      </c>
      <c r="Z8">
        <f>ROUND(SQRT(2*Q8*$F$2/(B8*$F$1)),0)</f>
        <v>186</v>
      </c>
      <c r="AA8">
        <f>ROUND(NORMSINV(Y8)*SQRT(D8)*S8,0)</f>
        <v>245</v>
      </c>
      <c r="AB8">
        <f>Z8/2+AA8</f>
        <v>338</v>
      </c>
      <c r="AC8" s="7">
        <f>AB8*B8*$F$1</f>
        <v>14324.44</v>
      </c>
      <c r="AD8" s="7">
        <f>Q8*(1-Y8)*$F$3*(C8-B8)</f>
        <v>2711.7836961461917</v>
      </c>
    </row>
    <row r="9" spans="1:30" x14ac:dyDescent="0.35">
      <c r="A9" s="32">
        <v>20357</v>
      </c>
      <c r="B9" s="5">
        <v>544</v>
      </c>
      <c r="C9" s="5">
        <v>800</v>
      </c>
      <c r="D9" s="23">
        <v>1.8</v>
      </c>
      <c r="E9" s="32">
        <v>9</v>
      </c>
      <c r="F9" s="32">
        <v>320</v>
      </c>
      <c r="G9" s="32">
        <v>290</v>
      </c>
      <c r="H9" s="32">
        <v>400</v>
      </c>
      <c r="I9" s="32">
        <v>389</v>
      </c>
      <c r="J9" s="32">
        <v>300</v>
      </c>
      <c r="K9" s="32">
        <v>299</v>
      </c>
      <c r="L9" s="32">
        <v>400</v>
      </c>
      <c r="M9" s="32">
        <v>421</v>
      </c>
      <c r="N9" s="32">
        <v>480</v>
      </c>
      <c r="O9" s="32">
        <v>399</v>
      </c>
      <c r="P9" s="32">
        <v>401</v>
      </c>
      <c r="Q9" s="32">
        <f t="shared" si="0"/>
        <v>4108</v>
      </c>
      <c r="R9" s="32">
        <f t="shared" si="1"/>
        <v>342.33333333333331</v>
      </c>
      <c r="S9" s="32">
        <f t="shared" si="2"/>
        <v>120.0911270156076</v>
      </c>
      <c r="T9" s="33" t="str">
        <f t="shared" si="3"/>
        <v>Ja</v>
      </c>
      <c r="U9" s="5">
        <f t="shared" si="4"/>
        <v>3286400</v>
      </c>
      <c r="V9" s="34">
        <f t="shared" si="5"/>
        <v>5.8563051360218374E-2</v>
      </c>
      <c r="W9" s="1">
        <f t="shared" si="8"/>
        <v>0.25320696812994076</v>
      </c>
      <c r="X9" s="35" t="str">
        <f t="shared" si="6"/>
        <v>A</v>
      </c>
      <c r="Y9" s="36">
        <f t="shared" si="7"/>
        <v>0.99249960463195708</v>
      </c>
      <c r="Z9">
        <f>ROUND(SQRT(2*Q9*$F$2/(B9*$F$1)),0)</f>
        <v>105</v>
      </c>
      <c r="AA9">
        <f>ROUND(NORMSINV(Y9)*SQRT(D9)*S9,0)</f>
        <v>392</v>
      </c>
      <c r="AB9">
        <f>Z9/2+AA9</f>
        <v>444.5</v>
      </c>
      <c r="AC9" s="7">
        <f>AB9*B9*$F$1</f>
        <v>31435.040000000001</v>
      </c>
      <c r="AD9" s="7">
        <f>Q9*(1-Y9)*$F$3*(C9-B9)</f>
        <v>2760.721525804061</v>
      </c>
    </row>
    <row r="10" spans="1:30" x14ac:dyDescent="0.35">
      <c r="A10" s="32">
        <v>20489</v>
      </c>
      <c r="B10" s="5">
        <v>3215</v>
      </c>
      <c r="C10" s="5">
        <v>4340</v>
      </c>
      <c r="D10" s="23">
        <v>1.6</v>
      </c>
      <c r="E10" s="32">
        <v>2</v>
      </c>
      <c r="F10" s="32">
        <v>2</v>
      </c>
      <c r="G10" s="32">
        <v>189</v>
      </c>
      <c r="H10" s="32">
        <v>8</v>
      </c>
      <c r="I10" s="32">
        <v>8</v>
      </c>
      <c r="J10" s="32">
        <v>234</v>
      </c>
      <c r="K10" s="32">
        <v>6</v>
      </c>
      <c r="L10" s="32">
        <v>5</v>
      </c>
      <c r="M10" s="32">
        <v>234</v>
      </c>
      <c r="N10" s="32">
        <v>5</v>
      </c>
      <c r="O10" s="32">
        <v>0</v>
      </c>
      <c r="P10" s="32">
        <v>5</v>
      </c>
      <c r="Q10" s="32">
        <f t="shared" si="0"/>
        <v>698</v>
      </c>
      <c r="R10" s="32">
        <f t="shared" si="1"/>
        <v>58.166666666666664</v>
      </c>
      <c r="S10" s="32">
        <f t="shared" si="2"/>
        <v>97.644841909417565</v>
      </c>
      <c r="T10" s="33" t="str">
        <f t="shared" si="3"/>
        <v>Nee</v>
      </c>
      <c r="U10" s="5">
        <f t="shared" si="4"/>
        <v>3029320</v>
      </c>
      <c r="V10" s="34">
        <f t="shared" si="5"/>
        <v>5.3981932432612192E-2</v>
      </c>
      <c r="W10" s="1">
        <f t="shared" si="8"/>
        <v>0.30718890056255294</v>
      </c>
      <c r="X10" s="35" t="str">
        <f t="shared" si="6"/>
        <v>A</v>
      </c>
      <c r="Y10" s="36">
        <f t="shared" si="7"/>
        <v>0.99249960463195708</v>
      </c>
    </row>
    <row r="11" spans="1:30" x14ac:dyDescent="0.35">
      <c r="A11" s="32">
        <v>22138</v>
      </c>
      <c r="B11" s="5">
        <v>3212</v>
      </c>
      <c r="C11" s="5">
        <v>4240</v>
      </c>
      <c r="D11" s="23">
        <v>0.1</v>
      </c>
      <c r="E11" s="32">
        <v>0</v>
      </c>
      <c r="F11" s="32">
        <v>0</v>
      </c>
      <c r="G11" s="32">
        <v>0</v>
      </c>
      <c r="H11" s="32">
        <v>0</v>
      </c>
      <c r="I11" s="32">
        <v>234</v>
      </c>
      <c r="J11" s="32">
        <v>299</v>
      </c>
      <c r="K11" s="32">
        <v>15</v>
      </c>
      <c r="L11" s="32">
        <v>1</v>
      </c>
      <c r="M11" s="32">
        <v>0</v>
      </c>
      <c r="N11" s="32">
        <v>0</v>
      </c>
      <c r="O11" s="32">
        <v>0</v>
      </c>
      <c r="P11" s="32">
        <v>0</v>
      </c>
      <c r="Q11" s="32">
        <f t="shared" si="0"/>
        <v>549</v>
      </c>
      <c r="R11" s="32">
        <f t="shared" si="1"/>
        <v>45.75</v>
      </c>
      <c r="S11" s="32">
        <f t="shared" si="2"/>
        <v>104.12678024233902</v>
      </c>
      <c r="T11" s="33" t="str">
        <f t="shared" si="3"/>
        <v>Nee</v>
      </c>
      <c r="U11" s="5">
        <f t="shared" si="4"/>
        <v>2327760</v>
      </c>
      <c r="V11" s="34">
        <f t="shared" si="5"/>
        <v>4.1480260599519814E-2</v>
      </c>
      <c r="W11" s="1">
        <f t="shared" si="8"/>
        <v>0.34866916116207275</v>
      </c>
      <c r="X11" s="35" t="str">
        <f t="shared" si="6"/>
        <v>A</v>
      </c>
      <c r="Y11" s="36">
        <f t="shared" si="7"/>
        <v>0.99249960463195708</v>
      </c>
    </row>
    <row r="12" spans="1:30" x14ac:dyDescent="0.35">
      <c r="A12" s="32">
        <v>20360</v>
      </c>
      <c r="B12" s="5">
        <v>2979</v>
      </c>
      <c r="C12" s="5">
        <v>4320</v>
      </c>
      <c r="D12" s="23">
        <v>0.9</v>
      </c>
      <c r="E12" s="32">
        <v>0</v>
      </c>
      <c r="F12" s="32">
        <v>4</v>
      </c>
      <c r="G12" s="32">
        <v>134</v>
      </c>
      <c r="H12" s="32">
        <v>0</v>
      </c>
      <c r="I12" s="32">
        <v>9</v>
      </c>
      <c r="J12" s="32">
        <v>167</v>
      </c>
      <c r="K12" s="32">
        <v>10</v>
      </c>
      <c r="L12" s="32">
        <v>9</v>
      </c>
      <c r="M12" s="32">
        <v>167</v>
      </c>
      <c r="N12" s="32">
        <v>1</v>
      </c>
      <c r="O12" s="32">
        <v>9</v>
      </c>
      <c r="P12" s="32">
        <v>5</v>
      </c>
      <c r="Q12" s="32">
        <f t="shared" si="0"/>
        <v>515</v>
      </c>
      <c r="R12" s="32">
        <f t="shared" si="1"/>
        <v>42.916666666666664</v>
      </c>
      <c r="S12" s="32">
        <f t="shared" si="2"/>
        <v>68.766347918590284</v>
      </c>
      <c r="T12" s="33" t="str">
        <f t="shared" si="3"/>
        <v>Nee</v>
      </c>
      <c r="U12" s="5">
        <f t="shared" si="4"/>
        <v>2224800</v>
      </c>
      <c r="V12" s="34">
        <f t="shared" si="5"/>
        <v>3.9645532091715507E-2</v>
      </c>
      <c r="W12" s="1">
        <f t="shared" si="8"/>
        <v>0.38831469325378826</v>
      </c>
      <c r="X12" s="35" t="str">
        <f t="shared" si="6"/>
        <v>A</v>
      </c>
      <c r="Y12" s="36">
        <f t="shared" si="7"/>
        <v>0.99249960463195708</v>
      </c>
    </row>
    <row r="13" spans="1:30" x14ac:dyDescent="0.35">
      <c r="A13" s="32">
        <v>26777</v>
      </c>
      <c r="B13" s="5">
        <v>3625</v>
      </c>
      <c r="C13" s="5">
        <v>5148</v>
      </c>
      <c r="D13" s="23">
        <v>0.2</v>
      </c>
      <c r="E13" s="32">
        <v>0</v>
      </c>
      <c r="F13" s="32">
        <v>0</v>
      </c>
      <c r="G13" s="32">
        <v>189</v>
      </c>
      <c r="H13" s="32">
        <v>234</v>
      </c>
      <c r="I13" s="32">
        <v>7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f t="shared" si="0"/>
        <v>430</v>
      </c>
      <c r="R13" s="32">
        <f t="shared" si="1"/>
        <v>35.833333333333336</v>
      </c>
      <c r="S13" s="32">
        <f t="shared" si="2"/>
        <v>82.637030367013963</v>
      </c>
      <c r="T13" s="33" t="str">
        <f t="shared" si="3"/>
        <v>Nee</v>
      </c>
      <c r="U13" s="5">
        <f t="shared" si="4"/>
        <v>2213640</v>
      </c>
      <c r="V13" s="34">
        <f t="shared" si="5"/>
        <v>3.9446662917792662E-2</v>
      </c>
      <c r="W13" s="1">
        <f t="shared" si="8"/>
        <v>0.4277613561715809</v>
      </c>
      <c r="X13" s="35" t="str">
        <f t="shared" si="6"/>
        <v>A</v>
      </c>
      <c r="Y13" s="36">
        <f t="shared" si="7"/>
        <v>0.99249960463195708</v>
      </c>
    </row>
    <row r="14" spans="1:30" x14ac:dyDescent="0.35">
      <c r="A14" s="32">
        <v>41132</v>
      </c>
      <c r="B14" s="5">
        <v>3519</v>
      </c>
      <c r="C14" s="5">
        <v>5032.5</v>
      </c>
      <c r="D14" s="23">
        <v>0.3</v>
      </c>
      <c r="E14" s="32">
        <v>5</v>
      </c>
      <c r="F14" s="32">
        <v>0</v>
      </c>
      <c r="G14" s="32">
        <v>99</v>
      </c>
      <c r="H14" s="32">
        <v>6</v>
      </c>
      <c r="I14" s="32">
        <v>6</v>
      </c>
      <c r="J14" s="32">
        <v>4</v>
      </c>
      <c r="K14" s="32">
        <v>4</v>
      </c>
      <c r="L14" s="32">
        <v>103</v>
      </c>
      <c r="M14" s="32">
        <v>3</v>
      </c>
      <c r="N14" s="32">
        <v>4</v>
      </c>
      <c r="O14" s="32">
        <v>133</v>
      </c>
      <c r="P14" s="32">
        <v>7</v>
      </c>
      <c r="Q14" s="32">
        <f t="shared" si="0"/>
        <v>374</v>
      </c>
      <c r="R14" s="32">
        <f t="shared" si="1"/>
        <v>31.166666666666668</v>
      </c>
      <c r="S14" s="32">
        <f t="shared" si="2"/>
        <v>49.217205663602371</v>
      </c>
      <c r="T14" s="33" t="str">
        <f t="shared" si="3"/>
        <v>Nee</v>
      </c>
      <c r="U14" s="5">
        <f t="shared" si="4"/>
        <v>1882155</v>
      </c>
      <c r="V14" s="34">
        <f t="shared" si="5"/>
        <v>3.3539660398275259E-2</v>
      </c>
      <c r="W14" s="1">
        <f t="shared" si="8"/>
        <v>0.46130101656985617</v>
      </c>
      <c r="X14" s="35" t="str">
        <f t="shared" si="6"/>
        <v>A</v>
      </c>
      <c r="Y14" s="36">
        <f t="shared" si="7"/>
        <v>0.99249960463195708</v>
      </c>
    </row>
    <row r="15" spans="1:30" x14ac:dyDescent="0.35">
      <c r="A15" s="32">
        <v>20053</v>
      </c>
      <c r="B15" s="5">
        <v>3242</v>
      </c>
      <c r="C15" s="5">
        <v>4280</v>
      </c>
      <c r="D15" s="23">
        <v>0.6</v>
      </c>
      <c r="E15" s="32">
        <v>0</v>
      </c>
      <c r="F15" s="32">
        <v>10</v>
      </c>
      <c r="G15" s="32">
        <v>130</v>
      </c>
      <c r="H15" s="32">
        <v>5</v>
      </c>
      <c r="I15" s="32">
        <v>5</v>
      </c>
      <c r="J15" s="32">
        <v>150</v>
      </c>
      <c r="K15" s="32">
        <v>0</v>
      </c>
      <c r="L15" s="32">
        <v>0</v>
      </c>
      <c r="M15" s="32">
        <v>135</v>
      </c>
      <c r="N15" s="32">
        <v>0</v>
      </c>
      <c r="O15" s="32">
        <v>4</v>
      </c>
      <c r="P15" s="32">
        <v>0</v>
      </c>
      <c r="Q15" s="32">
        <f t="shared" si="0"/>
        <v>439</v>
      </c>
      <c r="R15" s="32">
        <f t="shared" si="1"/>
        <v>36.583333333333336</v>
      </c>
      <c r="S15" s="32">
        <f t="shared" si="2"/>
        <v>61.593178980871713</v>
      </c>
      <c r="T15" s="33" t="str">
        <f t="shared" si="3"/>
        <v>Nee</v>
      </c>
      <c r="U15" s="5">
        <f t="shared" si="4"/>
        <v>1878920</v>
      </c>
      <c r="V15" s="34">
        <f t="shared" si="5"/>
        <v>3.3482013285583465E-2</v>
      </c>
      <c r="W15" s="1">
        <f t="shared" si="8"/>
        <v>0.49478302985543965</v>
      </c>
      <c r="X15" s="35" t="str">
        <f t="shared" si="6"/>
        <v>A</v>
      </c>
      <c r="Y15" s="36">
        <f t="shared" si="7"/>
        <v>0.99249960463195708</v>
      </c>
    </row>
    <row r="16" spans="1:30" x14ac:dyDescent="0.35">
      <c r="A16" s="32">
        <v>41005</v>
      </c>
      <c r="B16" s="5">
        <v>3601</v>
      </c>
      <c r="C16" s="5">
        <v>4969.5</v>
      </c>
      <c r="D16" s="23">
        <v>1.8</v>
      </c>
      <c r="E16" s="32">
        <v>0</v>
      </c>
      <c r="F16" s="32">
        <v>0</v>
      </c>
      <c r="G16" s="32">
        <v>123</v>
      </c>
      <c r="H16" s="32">
        <v>0</v>
      </c>
      <c r="I16" s="32">
        <v>4</v>
      </c>
      <c r="J16" s="32">
        <v>0</v>
      </c>
      <c r="K16" s="32">
        <v>0</v>
      </c>
      <c r="L16" s="32">
        <v>145</v>
      </c>
      <c r="M16" s="32">
        <v>0</v>
      </c>
      <c r="N16" s="32">
        <v>2</v>
      </c>
      <c r="O16" s="32">
        <v>101</v>
      </c>
      <c r="P16" s="32">
        <v>0</v>
      </c>
      <c r="Q16" s="32">
        <f t="shared" si="0"/>
        <v>375</v>
      </c>
      <c r="R16" s="32">
        <f t="shared" si="1"/>
        <v>31.25</v>
      </c>
      <c r="S16" s="32">
        <f t="shared" si="2"/>
        <v>56.129922339320778</v>
      </c>
      <c r="T16" s="33" t="str">
        <f t="shared" si="3"/>
        <v>Nee</v>
      </c>
      <c r="U16" s="5">
        <f t="shared" si="4"/>
        <v>1863562.5</v>
      </c>
      <c r="V16" s="34">
        <f t="shared" si="5"/>
        <v>3.3208345423708908E-2</v>
      </c>
      <c r="W16" s="1">
        <f t="shared" si="8"/>
        <v>0.52799137527914852</v>
      </c>
      <c r="X16" s="35" t="str">
        <f t="shared" si="6"/>
        <v>A</v>
      </c>
      <c r="Y16" s="36">
        <f t="shared" si="7"/>
        <v>0.99249960463195708</v>
      </c>
    </row>
    <row r="17" spans="1:30" x14ac:dyDescent="0.35">
      <c r="A17" s="32">
        <v>29450</v>
      </c>
      <c r="B17" s="5">
        <v>3906</v>
      </c>
      <c r="C17" s="5">
        <v>5116.5</v>
      </c>
      <c r="D17" s="23">
        <v>1.4</v>
      </c>
      <c r="E17" s="32">
        <v>0</v>
      </c>
      <c r="F17" s="32">
        <v>3</v>
      </c>
      <c r="G17" s="32">
        <v>154</v>
      </c>
      <c r="H17" s="32">
        <v>189</v>
      </c>
      <c r="I17" s="32">
        <v>8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f t="shared" si="0"/>
        <v>354</v>
      </c>
      <c r="R17" s="32">
        <f t="shared" si="1"/>
        <v>29.5</v>
      </c>
      <c r="S17" s="32">
        <f t="shared" si="2"/>
        <v>66.787995655180154</v>
      </c>
      <c r="T17" s="33" t="str">
        <f t="shared" si="3"/>
        <v>Nee</v>
      </c>
      <c r="U17" s="5">
        <f t="shared" si="4"/>
        <v>1811241</v>
      </c>
      <c r="V17" s="34">
        <f t="shared" si="5"/>
        <v>3.2275985792579502E-2</v>
      </c>
      <c r="W17" s="1">
        <f t="shared" si="8"/>
        <v>0.56026736107172803</v>
      </c>
      <c r="X17" s="35" t="str">
        <f t="shared" si="6"/>
        <v>A</v>
      </c>
      <c r="Y17" s="36">
        <f t="shared" si="7"/>
        <v>0.99249960463195708</v>
      </c>
    </row>
    <row r="18" spans="1:30" x14ac:dyDescent="0.35">
      <c r="A18" s="32">
        <v>33857</v>
      </c>
      <c r="B18" s="5">
        <v>3480</v>
      </c>
      <c r="C18" s="5">
        <v>5046</v>
      </c>
      <c r="D18" s="23">
        <v>1.6</v>
      </c>
      <c r="E18" s="32">
        <v>0</v>
      </c>
      <c r="F18" s="32">
        <v>0</v>
      </c>
      <c r="G18" s="32">
        <v>87</v>
      </c>
      <c r="H18" s="32">
        <v>1</v>
      </c>
      <c r="I18" s="32">
        <v>1</v>
      </c>
      <c r="J18" s="32">
        <v>0</v>
      </c>
      <c r="K18" s="32">
        <v>0</v>
      </c>
      <c r="L18" s="32">
        <v>99</v>
      </c>
      <c r="M18" s="32">
        <v>0</v>
      </c>
      <c r="N18" s="32">
        <v>0</v>
      </c>
      <c r="O18" s="32">
        <v>123</v>
      </c>
      <c r="P18" s="32">
        <v>0</v>
      </c>
      <c r="Q18" s="32">
        <f t="shared" si="0"/>
        <v>311</v>
      </c>
      <c r="R18" s="32">
        <f t="shared" si="1"/>
        <v>25.916666666666668</v>
      </c>
      <c r="S18" s="32">
        <f t="shared" si="2"/>
        <v>47.13705034419862</v>
      </c>
      <c r="T18" s="33" t="str">
        <f t="shared" si="3"/>
        <v>Nee</v>
      </c>
      <c r="U18" s="5">
        <f t="shared" si="4"/>
        <v>1569306</v>
      </c>
      <c r="V18" s="34">
        <f t="shared" si="5"/>
        <v>2.7964748015426866E-2</v>
      </c>
      <c r="W18" s="1">
        <f t="shared" si="8"/>
        <v>0.58823210908715495</v>
      </c>
      <c r="X18" s="35" t="str">
        <f t="shared" si="6"/>
        <v>A</v>
      </c>
      <c r="Y18" s="36">
        <f t="shared" si="7"/>
        <v>0.99249960463195708</v>
      </c>
    </row>
    <row r="19" spans="1:30" x14ac:dyDescent="0.35">
      <c r="A19" s="32">
        <v>22170</v>
      </c>
      <c r="B19" s="5">
        <v>899</v>
      </c>
      <c r="C19" s="5">
        <v>1250</v>
      </c>
      <c r="D19" s="23">
        <v>1.7</v>
      </c>
      <c r="E19" s="32">
        <v>0</v>
      </c>
      <c r="F19" s="32">
        <v>0</v>
      </c>
      <c r="G19" s="32">
        <v>5</v>
      </c>
      <c r="H19" s="32">
        <v>23</v>
      </c>
      <c r="I19" s="32">
        <v>678</v>
      </c>
      <c r="J19" s="32">
        <v>450</v>
      </c>
      <c r="K19" s="32">
        <v>34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f t="shared" si="0"/>
        <v>1190</v>
      </c>
      <c r="R19" s="32">
        <f t="shared" si="1"/>
        <v>99.166666666666671</v>
      </c>
      <c r="S19" s="32">
        <f t="shared" si="2"/>
        <v>222.76887057434595</v>
      </c>
      <c r="T19" s="33" t="str">
        <f t="shared" si="3"/>
        <v>Nee</v>
      </c>
      <c r="U19" s="5">
        <f t="shared" si="4"/>
        <v>1487500</v>
      </c>
      <c r="V19" s="34">
        <f t="shared" si="5"/>
        <v>2.650697994715337E-2</v>
      </c>
      <c r="W19" s="1">
        <f t="shared" si="8"/>
        <v>0.61473908903430829</v>
      </c>
      <c r="X19" s="35" t="str">
        <f t="shared" si="6"/>
        <v>A</v>
      </c>
      <c r="Y19" s="36">
        <f t="shared" si="7"/>
        <v>0.99249960463195708</v>
      </c>
    </row>
    <row r="20" spans="1:30" x14ac:dyDescent="0.35">
      <c r="A20" s="32">
        <v>23193</v>
      </c>
      <c r="B20" s="5">
        <v>3203</v>
      </c>
      <c r="C20" s="5">
        <v>4260</v>
      </c>
      <c r="D20" s="23">
        <v>1</v>
      </c>
      <c r="E20" s="32">
        <v>0</v>
      </c>
      <c r="F20" s="32">
        <v>9</v>
      </c>
      <c r="G20" s="32">
        <v>99</v>
      </c>
      <c r="H20" s="32">
        <v>0</v>
      </c>
      <c r="I20" s="32">
        <v>0</v>
      </c>
      <c r="J20" s="32">
        <v>123</v>
      </c>
      <c r="K20" s="32">
        <v>0</v>
      </c>
      <c r="L20" s="32">
        <v>0</v>
      </c>
      <c r="M20" s="32">
        <v>98</v>
      </c>
      <c r="N20" s="32">
        <v>0</v>
      </c>
      <c r="O20" s="32">
        <v>2</v>
      </c>
      <c r="P20" s="32">
        <v>0</v>
      </c>
      <c r="Q20" s="32">
        <f t="shared" si="0"/>
        <v>331</v>
      </c>
      <c r="R20" s="32">
        <f t="shared" si="1"/>
        <v>27.583333333333332</v>
      </c>
      <c r="S20" s="32">
        <f t="shared" si="2"/>
        <v>48.137036078514868</v>
      </c>
      <c r="T20" s="33" t="str">
        <f t="shared" si="3"/>
        <v>Nee</v>
      </c>
      <c r="U20" s="5">
        <f t="shared" si="4"/>
        <v>1410060</v>
      </c>
      <c r="V20" s="34">
        <f t="shared" si="5"/>
        <v>2.5127013206240726E-2</v>
      </c>
      <c r="W20" s="1">
        <f t="shared" si="8"/>
        <v>0.63986610224054907</v>
      </c>
      <c r="X20" s="35" t="str">
        <f t="shared" si="6"/>
        <v>A</v>
      </c>
      <c r="Y20" s="36">
        <f t="shared" si="7"/>
        <v>0.99249960463195708</v>
      </c>
    </row>
    <row r="21" spans="1:30" x14ac:dyDescent="0.35">
      <c r="A21" s="32">
        <v>44632</v>
      </c>
      <c r="B21" s="5">
        <v>959</v>
      </c>
      <c r="C21" s="5">
        <v>1342</v>
      </c>
      <c r="D21" s="23">
        <v>0.5</v>
      </c>
      <c r="E21" s="32">
        <v>2</v>
      </c>
      <c r="F21" s="32">
        <v>2</v>
      </c>
      <c r="G21" s="32">
        <v>444</v>
      </c>
      <c r="H21" s="32">
        <v>467</v>
      </c>
      <c r="I21" s="32">
        <v>9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f t="shared" si="0"/>
        <v>924</v>
      </c>
      <c r="R21" s="32">
        <f t="shared" si="1"/>
        <v>77</v>
      </c>
      <c r="S21" s="32">
        <f t="shared" si="2"/>
        <v>176.8836289253988</v>
      </c>
      <c r="T21" s="33" t="str">
        <f t="shared" si="3"/>
        <v>Nee</v>
      </c>
      <c r="U21" s="5">
        <f t="shared" si="4"/>
        <v>1240008</v>
      </c>
      <c r="V21" s="34">
        <f t="shared" si="5"/>
        <v>2.2096717438863701E-2</v>
      </c>
      <c r="W21" s="1">
        <f t="shared" si="8"/>
        <v>0.66196281967941273</v>
      </c>
      <c r="X21" s="35" t="str">
        <f t="shared" si="6"/>
        <v>A</v>
      </c>
      <c r="Y21" s="36">
        <f t="shared" si="7"/>
        <v>0.99249960463195708</v>
      </c>
    </row>
    <row r="22" spans="1:30" x14ac:dyDescent="0.35">
      <c r="A22" s="32">
        <v>37600</v>
      </c>
      <c r="B22" s="5">
        <v>3629</v>
      </c>
      <c r="C22" s="5">
        <v>4935</v>
      </c>
      <c r="D22" s="23">
        <v>1.3</v>
      </c>
      <c r="E22" s="32">
        <v>7</v>
      </c>
      <c r="F22" s="32">
        <v>4</v>
      </c>
      <c r="G22" s="32">
        <v>46</v>
      </c>
      <c r="H22" s="32">
        <v>0</v>
      </c>
      <c r="I22" s="32">
        <v>0</v>
      </c>
      <c r="J22" s="32">
        <v>0</v>
      </c>
      <c r="K22" s="32">
        <v>0</v>
      </c>
      <c r="L22" s="32">
        <v>78</v>
      </c>
      <c r="M22" s="32">
        <v>0</v>
      </c>
      <c r="N22" s="32">
        <v>0</v>
      </c>
      <c r="O22" s="32">
        <v>99</v>
      </c>
      <c r="P22" s="32">
        <v>0</v>
      </c>
      <c r="Q22" s="32">
        <f t="shared" si="0"/>
        <v>234</v>
      </c>
      <c r="R22" s="32">
        <f t="shared" si="1"/>
        <v>19.5</v>
      </c>
      <c r="S22" s="32">
        <f t="shared" si="2"/>
        <v>35.036344765763658</v>
      </c>
      <c r="T22" s="33" t="str">
        <f t="shared" si="3"/>
        <v>Nee</v>
      </c>
      <c r="U22" s="5">
        <f t="shared" si="4"/>
        <v>1154790</v>
      </c>
      <c r="V22" s="34">
        <f t="shared" si="5"/>
        <v>2.0578148150032428E-2</v>
      </c>
      <c r="W22" s="1">
        <f t="shared" si="8"/>
        <v>0.68254096782944518</v>
      </c>
      <c r="X22" s="35" t="str">
        <f t="shared" si="6"/>
        <v>A</v>
      </c>
      <c r="Y22" s="36">
        <f t="shared" si="7"/>
        <v>0.99249960463195708</v>
      </c>
    </row>
    <row r="23" spans="1:30" x14ac:dyDescent="0.35">
      <c r="A23" s="32">
        <v>26867</v>
      </c>
      <c r="B23" s="5">
        <v>3361</v>
      </c>
      <c r="C23" s="5">
        <v>4941</v>
      </c>
      <c r="D23" s="23">
        <v>1.8</v>
      </c>
      <c r="E23" s="32">
        <v>4</v>
      </c>
      <c r="F23" s="32">
        <v>1</v>
      </c>
      <c r="G23" s="32">
        <v>67</v>
      </c>
      <c r="H23" s="32">
        <v>0</v>
      </c>
      <c r="I23" s="32">
        <v>1</v>
      </c>
      <c r="J23" s="32">
        <v>1</v>
      </c>
      <c r="K23" s="32">
        <v>0</v>
      </c>
      <c r="L23" s="32">
        <v>88</v>
      </c>
      <c r="M23" s="32">
        <v>4</v>
      </c>
      <c r="N23" s="32">
        <v>3</v>
      </c>
      <c r="O23" s="32">
        <v>49</v>
      </c>
      <c r="P23" s="32">
        <v>3</v>
      </c>
      <c r="Q23" s="32">
        <f t="shared" si="0"/>
        <v>221</v>
      </c>
      <c r="R23" s="32">
        <f t="shared" si="1"/>
        <v>18.416666666666668</v>
      </c>
      <c r="S23" s="32">
        <f t="shared" si="2"/>
        <v>31.067253538480713</v>
      </c>
      <c r="T23" s="33" t="str">
        <f t="shared" si="3"/>
        <v>Nee</v>
      </c>
      <c r="U23" s="5">
        <f t="shared" si="4"/>
        <v>1091961</v>
      </c>
      <c r="V23" s="34">
        <f t="shared" si="5"/>
        <v>1.9458546776520026E-2</v>
      </c>
      <c r="W23" s="1">
        <f t="shared" si="8"/>
        <v>0.70199951460596521</v>
      </c>
      <c r="X23" s="35" t="str">
        <f t="shared" si="6"/>
        <v>A</v>
      </c>
      <c r="Y23" s="36">
        <f t="shared" si="7"/>
        <v>0.99249960463195708</v>
      </c>
    </row>
    <row r="24" spans="1:30" x14ac:dyDescent="0.35">
      <c r="A24" s="32">
        <v>22169</v>
      </c>
      <c r="B24" s="5">
        <v>797</v>
      </c>
      <c r="C24" s="5">
        <v>1060</v>
      </c>
      <c r="D24" s="23">
        <v>0.4</v>
      </c>
      <c r="E24" s="32">
        <v>103</v>
      </c>
      <c r="F24" s="32">
        <v>87</v>
      </c>
      <c r="G24" s="32">
        <v>99</v>
      </c>
      <c r="H24" s="32">
        <v>102</v>
      </c>
      <c r="I24" s="32">
        <v>80</v>
      </c>
      <c r="J24" s="32">
        <v>70</v>
      </c>
      <c r="K24" s="32">
        <v>60</v>
      </c>
      <c r="L24" s="32">
        <v>78</v>
      </c>
      <c r="M24" s="32">
        <v>89</v>
      </c>
      <c r="N24" s="32">
        <v>67</v>
      </c>
      <c r="O24" s="32">
        <v>76</v>
      </c>
      <c r="P24" s="32">
        <v>85</v>
      </c>
      <c r="Q24" s="32">
        <f t="shared" si="0"/>
        <v>996</v>
      </c>
      <c r="R24" s="32">
        <f t="shared" si="1"/>
        <v>83</v>
      </c>
      <c r="S24" s="32">
        <f t="shared" si="2"/>
        <v>13.849844108082292</v>
      </c>
      <c r="T24" s="33" t="str">
        <f t="shared" si="3"/>
        <v>Ja</v>
      </c>
      <c r="U24" s="5">
        <f t="shared" si="4"/>
        <v>1055760</v>
      </c>
      <c r="V24" s="34">
        <f t="shared" si="5"/>
        <v>1.881345152874396E-2</v>
      </c>
      <c r="W24" s="1">
        <f t="shared" si="8"/>
        <v>0.72081296613470913</v>
      </c>
      <c r="X24" s="35" t="str">
        <f t="shared" si="6"/>
        <v>A</v>
      </c>
      <c r="Y24" s="36">
        <f t="shared" si="7"/>
        <v>0.99249960463195708</v>
      </c>
      <c r="Z24">
        <f>ROUND(SQRT(2*Q24*$F$2/(B24*$F$1)),0)</f>
        <v>43</v>
      </c>
      <c r="AA24">
        <f>ROUND(NORMSINV(Y24)*SQRT(D24)*S24,0)</f>
        <v>21</v>
      </c>
      <c r="AB24">
        <f>Z24/2+AA24</f>
        <v>42.5</v>
      </c>
      <c r="AC24" s="7">
        <f>AB24*B24*$F$1</f>
        <v>4403.4250000000002</v>
      </c>
      <c r="AD24" s="7">
        <f>Q24*(1-Y24)*$F$3*(C24-B24)</f>
        <v>687.64974805383758</v>
      </c>
    </row>
    <row r="25" spans="1:30" x14ac:dyDescent="0.35">
      <c r="A25" s="32">
        <v>20071</v>
      </c>
      <c r="B25" s="5">
        <v>895</v>
      </c>
      <c r="C25" s="5">
        <v>1190</v>
      </c>
      <c r="D25" s="23">
        <v>1.6</v>
      </c>
      <c r="E25" s="32">
        <v>50</v>
      </c>
      <c r="F25" s="32">
        <v>66</v>
      </c>
      <c r="G25" s="32">
        <v>67</v>
      </c>
      <c r="H25" s="32">
        <v>87</v>
      </c>
      <c r="I25" s="32">
        <v>86</v>
      </c>
      <c r="J25" s="32">
        <v>83</v>
      </c>
      <c r="K25" s="32">
        <v>76</v>
      </c>
      <c r="L25" s="32">
        <v>75</v>
      </c>
      <c r="M25" s="32">
        <v>54</v>
      </c>
      <c r="N25" s="32">
        <v>64</v>
      </c>
      <c r="O25" s="32">
        <v>75</v>
      </c>
      <c r="P25" s="32">
        <v>82</v>
      </c>
      <c r="Q25" s="32">
        <f t="shared" si="0"/>
        <v>865</v>
      </c>
      <c r="R25" s="32">
        <f t="shared" si="1"/>
        <v>72.083333333333329</v>
      </c>
      <c r="S25" s="32">
        <f t="shared" si="2"/>
        <v>12.094013044277375</v>
      </c>
      <c r="T25" s="33" t="str">
        <f t="shared" si="3"/>
        <v>Ja</v>
      </c>
      <c r="U25" s="5">
        <f t="shared" si="4"/>
        <v>1029350</v>
      </c>
      <c r="V25" s="34">
        <f t="shared" si="5"/>
        <v>1.8342830123430132E-2</v>
      </c>
      <c r="W25" s="1">
        <f t="shared" si="8"/>
        <v>0.73915579625813921</v>
      </c>
      <c r="X25" s="35" t="str">
        <f t="shared" si="6"/>
        <v>A</v>
      </c>
      <c r="Y25" s="36">
        <f t="shared" si="7"/>
        <v>0.99249960463195708</v>
      </c>
      <c r="Z25">
        <f>ROUND(SQRT(2*Q25*$F$2/(B25*$F$1)),0)</f>
        <v>38</v>
      </c>
      <c r="AA25">
        <f>ROUND(NORMSINV(Y25)*SQRT(D25)*S25,0)</f>
        <v>37</v>
      </c>
      <c r="AB25">
        <f>Z25/2+AA25</f>
        <v>56</v>
      </c>
      <c r="AC25" s="7">
        <f>AB25*B25*$F$1</f>
        <v>6515.6</v>
      </c>
      <c r="AD25" s="7">
        <f>Q25*(1-Y25)*$F$3*(C25-B25)</f>
        <v>669.86968581412327</v>
      </c>
    </row>
    <row r="26" spans="1:30" x14ac:dyDescent="0.35">
      <c r="A26" s="32">
        <v>33854</v>
      </c>
      <c r="B26" s="5">
        <v>3489</v>
      </c>
      <c r="C26" s="5">
        <v>4920</v>
      </c>
      <c r="D26" s="23">
        <v>1.2</v>
      </c>
      <c r="E26" s="32">
        <v>1</v>
      </c>
      <c r="F26" s="32">
        <v>1</v>
      </c>
      <c r="G26" s="32">
        <v>55</v>
      </c>
      <c r="H26" s="32">
        <v>0</v>
      </c>
      <c r="I26" s="32">
        <v>3</v>
      </c>
      <c r="J26" s="32">
        <v>0</v>
      </c>
      <c r="K26" s="32">
        <v>0</v>
      </c>
      <c r="L26" s="32">
        <v>66</v>
      </c>
      <c r="M26" s="32">
        <v>0</v>
      </c>
      <c r="N26" s="32">
        <v>0</v>
      </c>
      <c r="O26" s="32">
        <v>77</v>
      </c>
      <c r="P26" s="32">
        <v>0</v>
      </c>
      <c r="Q26" s="32">
        <f t="shared" si="0"/>
        <v>203</v>
      </c>
      <c r="R26" s="32">
        <f t="shared" si="1"/>
        <v>16.916666666666668</v>
      </c>
      <c r="S26" s="32">
        <f t="shared" si="2"/>
        <v>29.980170214003223</v>
      </c>
      <c r="T26" s="33" t="str">
        <f t="shared" si="3"/>
        <v>Nee</v>
      </c>
      <c r="U26" s="5">
        <f t="shared" si="4"/>
        <v>998760</v>
      </c>
      <c r="V26" s="34">
        <f t="shared" si="5"/>
        <v>1.7797721876987495E-2</v>
      </c>
      <c r="W26" s="1">
        <f t="shared" si="8"/>
        <v>0.75695351813512668</v>
      </c>
      <c r="X26" s="35" t="str">
        <f t="shared" si="6"/>
        <v>A</v>
      </c>
      <c r="Y26" s="36">
        <f t="shared" si="7"/>
        <v>0.99249960463195708</v>
      </c>
    </row>
    <row r="27" spans="1:30" x14ac:dyDescent="0.35">
      <c r="A27" s="32">
        <v>29060</v>
      </c>
      <c r="B27" s="5">
        <v>3761</v>
      </c>
      <c r="C27" s="5">
        <v>5077.5</v>
      </c>
      <c r="D27" s="23">
        <v>0.3</v>
      </c>
      <c r="E27" s="32">
        <v>0</v>
      </c>
      <c r="F27" s="32">
        <v>0</v>
      </c>
      <c r="G27" s="32">
        <v>89</v>
      </c>
      <c r="H27" s="32">
        <v>99</v>
      </c>
      <c r="I27" s="32">
        <v>3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f t="shared" si="0"/>
        <v>191</v>
      </c>
      <c r="R27" s="32">
        <f t="shared" si="1"/>
        <v>15.916666666666666</v>
      </c>
      <c r="S27" s="32">
        <f t="shared" si="2"/>
        <v>36.545011681320872</v>
      </c>
      <c r="T27" s="33" t="str">
        <f t="shared" si="3"/>
        <v>Nee</v>
      </c>
      <c r="U27" s="5">
        <f t="shared" si="4"/>
        <v>969802.5</v>
      </c>
      <c r="V27" s="34">
        <f t="shared" si="5"/>
        <v>1.7281704484167531E-2</v>
      </c>
      <c r="W27" s="1">
        <f t="shared" si="8"/>
        <v>0.77423522261929423</v>
      </c>
      <c r="X27" s="35" t="str">
        <f t="shared" si="6"/>
        <v>A</v>
      </c>
      <c r="Y27" s="36">
        <f t="shared" si="7"/>
        <v>0.99249960463195708</v>
      </c>
    </row>
    <row r="28" spans="1:30" x14ac:dyDescent="0.35">
      <c r="A28" s="32">
        <v>20072</v>
      </c>
      <c r="B28" s="5">
        <v>870</v>
      </c>
      <c r="C28" s="5">
        <v>1140</v>
      </c>
      <c r="D28" s="23">
        <v>2</v>
      </c>
      <c r="E28" s="32">
        <v>61</v>
      </c>
      <c r="F28" s="32">
        <v>76</v>
      </c>
      <c r="G28" s="32">
        <v>56</v>
      </c>
      <c r="H28" s="32">
        <v>87</v>
      </c>
      <c r="I28" s="32">
        <v>56</v>
      </c>
      <c r="J28" s="32">
        <v>76</v>
      </c>
      <c r="K28" s="32">
        <v>48</v>
      </c>
      <c r="L28" s="32">
        <v>69</v>
      </c>
      <c r="M28" s="32">
        <v>70</v>
      </c>
      <c r="N28" s="32">
        <v>80</v>
      </c>
      <c r="O28" s="32">
        <v>98</v>
      </c>
      <c r="P28" s="32">
        <v>65</v>
      </c>
      <c r="Q28" s="32">
        <f t="shared" si="0"/>
        <v>842</v>
      </c>
      <c r="R28" s="32">
        <f t="shared" si="1"/>
        <v>70.166666666666671</v>
      </c>
      <c r="S28" s="32">
        <f t="shared" si="2"/>
        <v>14.230781830776245</v>
      </c>
      <c r="T28" s="33" t="str">
        <f t="shared" si="3"/>
        <v>Ja</v>
      </c>
      <c r="U28" s="5">
        <f t="shared" si="4"/>
        <v>959880</v>
      </c>
      <c r="V28" s="34">
        <f t="shared" si="5"/>
        <v>1.7104887335578873E-2</v>
      </c>
      <c r="W28" s="1">
        <f t="shared" si="8"/>
        <v>0.79134010995487314</v>
      </c>
      <c r="X28" s="35" t="str">
        <f t="shared" si="6"/>
        <v>A</v>
      </c>
      <c r="Y28" s="36">
        <f t="shared" si="7"/>
        <v>0.99249960463195708</v>
      </c>
      <c r="Z28">
        <f>ROUND(SQRT(2*Q28*$F$2/(B28*$F$1)),0)</f>
        <v>38</v>
      </c>
      <c r="AA28">
        <f>ROUND(NORMSINV(Y28)*SQRT(D28)*S28,0)</f>
        <v>49</v>
      </c>
      <c r="AB28">
        <f>Z28/2+AA28</f>
        <v>68</v>
      </c>
      <c r="AC28" s="7">
        <f>AB28*B28*$F$1</f>
        <v>7690.8</v>
      </c>
      <c r="AD28" s="7">
        <f>Q28*(1-Y28)*$F$3*(C28-B28)</f>
        <v>596.7989590398073</v>
      </c>
    </row>
    <row r="29" spans="1:30" x14ac:dyDescent="0.35">
      <c r="A29" s="32">
        <v>29990</v>
      </c>
      <c r="B29" s="5">
        <v>3469</v>
      </c>
      <c r="C29" s="5">
        <v>4995</v>
      </c>
      <c r="D29" s="23">
        <v>0.7</v>
      </c>
      <c r="E29" s="32">
        <v>1</v>
      </c>
      <c r="F29" s="32">
        <v>2</v>
      </c>
      <c r="G29" s="32">
        <v>78</v>
      </c>
      <c r="H29" s="32">
        <v>4</v>
      </c>
      <c r="I29" s="32">
        <v>2</v>
      </c>
      <c r="J29" s="32">
        <v>4</v>
      </c>
      <c r="K29" s="32">
        <v>6</v>
      </c>
      <c r="L29" s="32">
        <v>69</v>
      </c>
      <c r="M29" s="32">
        <v>4</v>
      </c>
      <c r="N29" s="32">
        <v>0</v>
      </c>
      <c r="O29" s="32">
        <v>0</v>
      </c>
      <c r="P29" s="32">
        <v>0</v>
      </c>
      <c r="Q29" s="32">
        <f t="shared" si="0"/>
        <v>170</v>
      </c>
      <c r="R29" s="32">
        <f t="shared" si="1"/>
        <v>14.166666666666666</v>
      </c>
      <c r="S29" s="32">
        <f t="shared" si="2"/>
        <v>27.846440390546192</v>
      </c>
      <c r="T29" s="33" t="str">
        <f t="shared" si="3"/>
        <v>Nee</v>
      </c>
      <c r="U29" s="5">
        <f t="shared" si="4"/>
        <v>849150</v>
      </c>
      <c r="V29" s="34">
        <f t="shared" si="5"/>
        <v>1.5131698838403552E-2</v>
      </c>
      <c r="W29" s="1">
        <f t="shared" si="8"/>
        <v>0.80647180879327673</v>
      </c>
      <c r="X29" s="35" t="str">
        <f t="shared" si="6"/>
        <v>B</v>
      </c>
      <c r="Y29" s="36">
        <f t="shared" si="7"/>
        <v>0.95</v>
      </c>
    </row>
    <row r="30" spans="1:30" x14ac:dyDescent="0.35">
      <c r="A30" s="32">
        <v>35627</v>
      </c>
      <c r="B30" s="5">
        <v>3698</v>
      </c>
      <c r="C30" s="5">
        <v>4845</v>
      </c>
      <c r="D30" s="23">
        <v>0.8</v>
      </c>
      <c r="E30" s="32">
        <v>20</v>
      </c>
      <c r="F30" s="32">
        <v>11</v>
      </c>
      <c r="G30" s="32">
        <v>5</v>
      </c>
      <c r="H30" s="32">
        <v>21</v>
      </c>
      <c r="I30" s="32">
        <v>6</v>
      </c>
      <c r="J30" s="32">
        <v>20</v>
      </c>
      <c r="K30" s="32">
        <v>3</v>
      </c>
      <c r="L30" s="32">
        <v>20</v>
      </c>
      <c r="M30" s="32">
        <v>17</v>
      </c>
      <c r="N30" s="32">
        <v>6</v>
      </c>
      <c r="O30" s="32">
        <v>3</v>
      </c>
      <c r="P30" s="32">
        <v>15</v>
      </c>
      <c r="Q30" s="32">
        <f t="shared" si="0"/>
        <v>147</v>
      </c>
      <c r="R30" s="32">
        <f t="shared" si="1"/>
        <v>12.25</v>
      </c>
      <c r="S30" s="32">
        <f t="shared" si="2"/>
        <v>7.3252365770049304</v>
      </c>
      <c r="T30" s="33" t="str">
        <f t="shared" si="3"/>
        <v>Ja</v>
      </c>
      <c r="U30" s="5">
        <f t="shared" si="4"/>
        <v>712215</v>
      </c>
      <c r="V30" s="34">
        <f t="shared" si="5"/>
        <v>1.2691541998697032E-2</v>
      </c>
      <c r="W30" s="1">
        <f t="shared" si="8"/>
        <v>0.81916335079197378</v>
      </c>
      <c r="X30" s="35" t="str">
        <f t="shared" si="6"/>
        <v>B</v>
      </c>
      <c r="Y30" s="36">
        <f t="shared" si="7"/>
        <v>0.95</v>
      </c>
      <c r="Z30">
        <f>ROUND(SQRT(2*Q30*$F$2/(B30*$F$1)),0)</f>
        <v>8</v>
      </c>
      <c r="AA30">
        <f>ROUND(NORMSINV(Y30)*SQRT(D30)*S30,0)</f>
        <v>11</v>
      </c>
      <c r="AB30">
        <f>Z30/2+AA30</f>
        <v>15</v>
      </c>
      <c r="AC30" s="7">
        <f>AB30*B30*$F$1</f>
        <v>7211.1</v>
      </c>
      <c r="AD30" s="7">
        <f>Q30*(1-Y30)*$F$3*(C30-B30)</f>
        <v>2950.6575000000025</v>
      </c>
    </row>
    <row r="31" spans="1:30" x14ac:dyDescent="0.35">
      <c r="A31" s="32">
        <v>20370</v>
      </c>
      <c r="B31" s="5">
        <v>874</v>
      </c>
      <c r="C31" s="5">
        <v>1250</v>
      </c>
      <c r="D31" s="23">
        <v>0.7</v>
      </c>
      <c r="E31" s="32">
        <v>0</v>
      </c>
      <c r="F31" s="32">
        <v>0</v>
      </c>
      <c r="G31" s="32">
        <v>0</v>
      </c>
      <c r="H31" s="32">
        <v>0</v>
      </c>
      <c r="I31" s="32">
        <v>256</v>
      </c>
      <c r="J31" s="32">
        <v>199</v>
      </c>
      <c r="K31" s="32">
        <v>109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f t="shared" si="0"/>
        <v>564</v>
      </c>
      <c r="R31" s="32">
        <f t="shared" si="1"/>
        <v>47</v>
      </c>
      <c r="S31" s="32">
        <f t="shared" si="2"/>
        <v>90.70932597137859</v>
      </c>
      <c r="T31" s="33" t="str">
        <f t="shared" si="3"/>
        <v>Nee</v>
      </c>
      <c r="U31" s="5">
        <f t="shared" si="4"/>
        <v>705000</v>
      </c>
      <c r="V31" s="34">
        <f t="shared" si="5"/>
        <v>1.2562972008566806E-2</v>
      </c>
      <c r="W31" s="1">
        <f t="shared" si="8"/>
        <v>0.8317263228005406</v>
      </c>
      <c r="X31" s="35" t="str">
        <f t="shared" si="6"/>
        <v>B</v>
      </c>
      <c r="Y31" s="36">
        <f t="shared" si="7"/>
        <v>0.95</v>
      </c>
    </row>
    <row r="32" spans="1:30" x14ac:dyDescent="0.35">
      <c r="A32" s="32">
        <v>20058</v>
      </c>
      <c r="B32" s="5">
        <v>908</v>
      </c>
      <c r="C32" s="5">
        <v>1190</v>
      </c>
      <c r="D32" s="23">
        <v>0.1</v>
      </c>
      <c r="E32" s="32">
        <v>11</v>
      </c>
      <c r="F32" s="32">
        <v>44</v>
      </c>
      <c r="G32" s="32">
        <v>54</v>
      </c>
      <c r="H32" s="32">
        <v>65</v>
      </c>
      <c r="I32" s="32">
        <v>45</v>
      </c>
      <c r="J32" s="32">
        <v>35</v>
      </c>
      <c r="K32" s="32">
        <v>46</v>
      </c>
      <c r="L32" s="32">
        <v>47</v>
      </c>
      <c r="M32" s="32">
        <v>58</v>
      </c>
      <c r="N32" s="32">
        <v>76</v>
      </c>
      <c r="O32" s="32">
        <v>44</v>
      </c>
      <c r="P32" s="32">
        <v>55</v>
      </c>
      <c r="Q32" s="32">
        <f t="shared" si="0"/>
        <v>580</v>
      </c>
      <c r="R32" s="32">
        <f t="shared" si="1"/>
        <v>48.333333333333336</v>
      </c>
      <c r="S32" s="32">
        <f t="shared" si="2"/>
        <v>16.069922969399212</v>
      </c>
      <c r="T32" s="33" t="str">
        <f t="shared" si="3"/>
        <v>Ja</v>
      </c>
      <c r="U32" s="5">
        <f t="shared" si="4"/>
        <v>690200</v>
      </c>
      <c r="V32" s="34">
        <f t="shared" si="5"/>
        <v>1.2299238695479163E-2</v>
      </c>
      <c r="W32" s="1">
        <f t="shared" si="8"/>
        <v>0.84402556149601971</v>
      </c>
      <c r="X32" s="35" t="str">
        <f t="shared" si="6"/>
        <v>B</v>
      </c>
      <c r="Y32" s="36">
        <f t="shared" si="7"/>
        <v>0.95</v>
      </c>
      <c r="Z32">
        <f>ROUND(SQRT(2*Q32*$F$2/(B32*$F$1)),0)</f>
        <v>31</v>
      </c>
      <c r="AA32">
        <f>ROUND(NORMSINV(Y32)*SQRT(D32)*S32,0)</f>
        <v>8</v>
      </c>
      <c r="AB32">
        <f>Z32/2+AA32</f>
        <v>23.5</v>
      </c>
      <c r="AC32" s="7">
        <f>AB32*B32*$F$1</f>
        <v>2773.94</v>
      </c>
      <c r="AD32" s="7">
        <f>Q32*(1-Y32)*$F$3*(C32-B32)</f>
        <v>2862.300000000002</v>
      </c>
    </row>
    <row r="33" spans="1:30" x14ac:dyDescent="0.35">
      <c r="A33" s="32">
        <v>49813</v>
      </c>
      <c r="B33" s="5">
        <v>3452</v>
      </c>
      <c r="C33" s="5">
        <v>4867.5</v>
      </c>
      <c r="D33" s="23">
        <v>0.2</v>
      </c>
      <c r="E33" s="32">
        <v>14</v>
      </c>
      <c r="F33" s="32">
        <v>7</v>
      </c>
      <c r="G33" s="32">
        <v>12</v>
      </c>
      <c r="H33" s="32">
        <v>15</v>
      </c>
      <c r="I33" s="32">
        <v>12</v>
      </c>
      <c r="J33" s="32">
        <v>11</v>
      </c>
      <c r="K33" s="32">
        <v>4</v>
      </c>
      <c r="L33" s="32">
        <v>14</v>
      </c>
      <c r="M33" s="32">
        <v>14</v>
      </c>
      <c r="N33" s="32">
        <v>13</v>
      </c>
      <c r="O33" s="32">
        <v>5</v>
      </c>
      <c r="P33" s="32">
        <v>12</v>
      </c>
      <c r="Q33" s="32">
        <f t="shared" si="0"/>
        <v>133</v>
      </c>
      <c r="R33" s="32">
        <f t="shared" si="1"/>
        <v>11.083333333333334</v>
      </c>
      <c r="S33" s="32">
        <f t="shared" si="2"/>
        <v>3.7040109300185624</v>
      </c>
      <c r="T33" s="33" t="str">
        <f t="shared" si="3"/>
        <v>Ja</v>
      </c>
      <c r="U33" s="5">
        <f t="shared" si="4"/>
        <v>647377.5</v>
      </c>
      <c r="V33" s="34">
        <f t="shared" si="5"/>
        <v>1.1536149519824054E-2</v>
      </c>
      <c r="W33" s="1">
        <f t="shared" si="8"/>
        <v>0.85556171101584377</v>
      </c>
      <c r="X33" s="35" t="str">
        <f t="shared" si="6"/>
        <v>B</v>
      </c>
      <c r="Y33" s="36">
        <f t="shared" si="7"/>
        <v>0.95</v>
      </c>
      <c r="Z33">
        <f>ROUND(SQRT(2*Q33*$F$2/(B33*$F$1)),0)</f>
        <v>8</v>
      </c>
      <c r="AA33">
        <f>ROUND(NORMSINV(Y33)*SQRT(D33)*S33,0)</f>
        <v>3</v>
      </c>
      <c r="AB33">
        <f>Z33/2+AA33</f>
        <v>7</v>
      </c>
      <c r="AC33" s="7">
        <f>AB33*B33*$F$1</f>
        <v>3141.32</v>
      </c>
      <c r="AD33" s="7">
        <f>Q33*(1-Y33)*$F$3*(C33-B33)</f>
        <v>3294.5762500000028</v>
      </c>
    </row>
    <row r="34" spans="1:30" x14ac:dyDescent="0.35">
      <c r="A34" s="32">
        <v>20597</v>
      </c>
      <c r="B34" s="5">
        <v>776</v>
      </c>
      <c r="C34" s="5">
        <v>1040</v>
      </c>
      <c r="D34" s="23">
        <v>1.4</v>
      </c>
      <c r="E34" s="32">
        <v>64</v>
      </c>
      <c r="F34" s="32">
        <v>34</v>
      </c>
      <c r="G34" s="32">
        <v>56</v>
      </c>
      <c r="H34" s="32">
        <v>65</v>
      </c>
      <c r="I34" s="32">
        <v>63</v>
      </c>
      <c r="J34" s="32">
        <v>55</v>
      </c>
      <c r="K34" s="32">
        <v>63</v>
      </c>
      <c r="L34" s="32">
        <v>35</v>
      </c>
      <c r="M34" s="32">
        <v>54</v>
      </c>
      <c r="N34" s="32">
        <v>44</v>
      </c>
      <c r="O34" s="32">
        <v>30</v>
      </c>
      <c r="P34" s="32">
        <v>54</v>
      </c>
      <c r="Q34" s="32">
        <f t="shared" si="0"/>
        <v>617</v>
      </c>
      <c r="R34" s="32">
        <f t="shared" si="1"/>
        <v>51.416666666666664</v>
      </c>
      <c r="S34" s="32">
        <f t="shared" si="2"/>
        <v>12.594792093511826</v>
      </c>
      <c r="T34" s="33" t="str">
        <f t="shared" si="3"/>
        <v>Ja</v>
      </c>
      <c r="U34" s="5">
        <f t="shared" si="4"/>
        <v>641680</v>
      </c>
      <c r="V34" s="34">
        <f t="shared" si="5"/>
        <v>1.1434621104194537E-2</v>
      </c>
      <c r="W34" s="1">
        <f t="shared" si="8"/>
        <v>0.86699633212003835</v>
      </c>
      <c r="X34" s="35" t="str">
        <f t="shared" si="6"/>
        <v>B</v>
      </c>
      <c r="Y34" s="36">
        <f t="shared" si="7"/>
        <v>0.95</v>
      </c>
      <c r="Z34">
        <f>ROUND(SQRT(2*Q34*$F$2/(B34*$F$1)),0)</f>
        <v>34</v>
      </c>
      <c r="AA34">
        <f>ROUND(NORMSINV(Y34)*SQRT(D34)*S34,0)</f>
        <v>25</v>
      </c>
      <c r="AB34">
        <f>Z34/2+AA34</f>
        <v>42</v>
      </c>
      <c r="AC34" s="7">
        <f>AB34*B34*$F$1</f>
        <v>4236.96</v>
      </c>
      <c r="AD34" s="7">
        <f>Q34*(1-Y34)*$F$3*(C34-B34)</f>
        <v>2850.5400000000022</v>
      </c>
    </row>
    <row r="35" spans="1:30" x14ac:dyDescent="0.35">
      <c r="A35" s="32">
        <v>29095</v>
      </c>
      <c r="B35" s="5">
        <v>3154</v>
      </c>
      <c r="C35" s="5">
        <v>4668</v>
      </c>
      <c r="D35" s="23">
        <v>0.8</v>
      </c>
      <c r="E35" s="32">
        <v>13</v>
      </c>
      <c r="F35" s="32">
        <v>7</v>
      </c>
      <c r="G35" s="32">
        <v>6</v>
      </c>
      <c r="H35" s="32">
        <v>10</v>
      </c>
      <c r="I35" s="32">
        <v>12</v>
      </c>
      <c r="J35" s="32">
        <v>12</v>
      </c>
      <c r="K35" s="32">
        <v>8</v>
      </c>
      <c r="L35" s="32">
        <v>8</v>
      </c>
      <c r="M35" s="32">
        <v>12</v>
      </c>
      <c r="N35" s="32">
        <v>7</v>
      </c>
      <c r="O35" s="32">
        <v>11</v>
      </c>
      <c r="P35" s="32">
        <v>13</v>
      </c>
      <c r="Q35" s="32">
        <f t="shared" si="0"/>
        <v>119</v>
      </c>
      <c r="R35" s="32">
        <f t="shared" si="1"/>
        <v>9.9166666666666661</v>
      </c>
      <c r="S35" s="32">
        <f t="shared" si="2"/>
        <v>2.5746432527221876</v>
      </c>
      <c r="T35" s="33" t="str">
        <f t="shared" si="3"/>
        <v>Ja</v>
      </c>
      <c r="U35" s="5">
        <f t="shared" si="4"/>
        <v>555492</v>
      </c>
      <c r="V35" s="34">
        <f t="shared" si="5"/>
        <v>9.8987665914649532E-3</v>
      </c>
      <c r="W35" s="1">
        <f t="shared" si="8"/>
        <v>0.87689509871150328</v>
      </c>
      <c r="X35" s="35" t="str">
        <f t="shared" si="6"/>
        <v>B</v>
      </c>
      <c r="Y35" s="36">
        <f t="shared" si="7"/>
        <v>0.95</v>
      </c>
      <c r="Z35">
        <f>ROUND(SQRT(2*Q35*$F$2/(B35*$F$1)),0)</f>
        <v>7</v>
      </c>
      <c r="AA35">
        <f>ROUND(NORMSINV(Y35)*SQRT(D35)*S35,0)</f>
        <v>4</v>
      </c>
      <c r="AB35">
        <f>Z35/2+AA35</f>
        <v>7.5</v>
      </c>
      <c r="AC35" s="7">
        <f>AB35*B35*$F$1</f>
        <v>3075.15</v>
      </c>
      <c r="AD35" s="7">
        <f>Q35*(1-Y35)*$F$3*(C35-B35)</f>
        <v>3152.9050000000029</v>
      </c>
    </row>
    <row r="36" spans="1:30" x14ac:dyDescent="0.35">
      <c r="A36" s="32">
        <v>20369</v>
      </c>
      <c r="B36" s="5">
        <v>768</v>
      </c>
      <c r="C36" s="5">
        <v>1060</v>
      </c>
      <c r="D36" s="23">
        <v>0.7</v>
      </c>
      <c r="E36" s="32">
        <v>26</v>
      </c>
      <c r="F36" s="32">
        <v>59</v>
      </c>
      <c r="G36" s="32">
        <v>58</v>
      </c>
      <c r="H36" s="32">
        <v>53</v>
      </c>
      <c r="I36" s="32">
        <v>57</v>
      </c>
      <c r="J36" s="32">
        <v>40</v>
      </c>
      <c r="K36" s="32">
        <v>33</v>
      </c>
      <c r="L36" s="32">
        <v>23</v>
      </c>
      <c r="M36" s="32">
        <v>32</v>
      </c>
      <c r="N36" s="32">
        <v>42</v>
      </c>
      <c r="O36" s="32">
        <v>48</v>
      </c>
      <c r="P36" s="32">
        <v>54</v>
      </c>
      <c r="Q36" s="32">
        <f t="shared" si="0"/>
        <v>525</v>
      </c>
      <c r="R36" s="32">
        <f t="shared" si="1"/>
        <v>43.75</v>
      </c>
      <c r="S36" s="32">
        <f t="shared" si="2"/>
        <v>12.920209680257445</v>
      </c>
      <c r="T36" s="33" t="str">
        <f t="shared" si="3"/>
        <v>Ja</v>
      </c>
      <c r="U36" s="5">
        <f t="shared" si="4"/>
        <v>556500</v>
      </c>
      <c r="V36" s="34">
        <f t="shared" si="5"/>
        <v>9.9167289684644368E-3</v>
      </c>
      <c r="W36" s="1">
        <f t="shared" si="8"/>
        <v>0.88681182767996769</v>
      </c>
      <c r="X36" s="35" t="str">
        <f t="shared" si="6"/>
        <v>B</v>
      </c>
      <c r="Y36" s="36">
        <f t="shared" si="7"/>
        <v>0.95</v>
      </c>
      <c r="Z36">
        <f>ROUND(SQRT(2*Q36*$F$2/(B36*$F$1)),0)</f>
        <v>32</v>
      </c>
      <c r="AA36">
        <f>ROUND(NORMSINV(Y36)*SQRT(D36)*S36,0)</f>
        <v>18</v>
      </c>
      <c r="AB36">
        <f>Z36/2+AA36</f>
        <v>34</v>
      </c>
      <c r="AC36" s="7">
        <f>AB36*B36*$F$1</f>
        <v>3394.56</v>
      </c>
      <c r="AD36" s="7">
        <f>Q36*(1-Y36)*$F$3*(C36-B36)</f>
        <v>2682.7500000000027</v>
      </c>
    </row>
    <row r="37" spans="1:30" x14ac:dyDescent="0.35">
      <c r="A37" s="32">
        <v>20491</v>
      </c>
      <c r="B37" s="5">
        <v>312</v>
      </c>
      <c r="C37" s="5">
        <v>434</v>
      </c>
      <c r="D37" s="23">
        <v>0.2</v>
      </c>
      <c r="E37" s="32">
        <v>3</v>
      </c>
      <c r="F37" s="32">
        <v>17</v>
      </c>
      <c r="G37" s="32">
        <v>389</v>
      </c>
      <c r="H37" s="32">
        <v>1</v>
      </c>
      <c r="I37" s="32">
        <v>5</v>
      </c>
      <c r="J37" s="32">
        <v>456</v>
      </c>
      <c r="K37" s="32">
        <v>16</v>
      </c>
      <c r="L37" s="32">
        <v>0</v>
      </c>
      <c r="M37" s="32">
        <v>356</v>
      </c>
      <c r="N37" s="32">
        <v>0</v>
      </c>
      <c r="O37" s="32">
        <v>1</v>
      </c>
      <c r="P37" s="32">
        <v>3</v>
      </c>
      <c r="Q37" s="32">
        <f t="shared" si="0"/>
        <v>1247</v>
      </c>
      <c r="R37" s="32">
        <f t="shared" si="1"/>
        <v>103.91666666666667</v>
      </c>
      <c r="S37" s="32">
        <f t="shared" si="2"/>
        <v>180.15117809688886</v>
      </c>
      <c r="T37" s="33" t="str">
        <f t="shared" si="3"/>
        <v>Nee</v>
      </c>
      <c r="U37" s="5">
        <f t="shared" si="4"/>
        <v>541198</v>
      </c>
      <c r="V37" s="34">
        <f t="shared" si="5"/>
        <v>9.6440501065139551E-3</v>
      </c>
      <c r="W37" s="1">
        <f t="shared" si="8"/>
        <v>0.89645587778648161</v>
      </c>
      <c r="X37" s="35" t="str">
        <f t="shared" si="6"/>
        <v>B</v>
      </c>
      <c r="Y37" s="36">
        <f t="shared" si="7"/>
        <v>0.95</v>
      </c>
    </row>
    <row r="38" spans="1:30" x14ac:dyDescent="0.35">
      <c r="A38" s="32">
        <v>26657</v>
      </c>
      <c r="B38" s="5">
        <v>3271</v>
      </c>
      <c r="C38" s="5">
        <v>4645.5</v>
      </c>
      <c r="D38" s="23">
        <v>0.6</v>
      </c>
      <c r="E38" s="32">
        <v>8</v>
      </c>
      <c r="F38" s="32">
        <v>2</v>
      </c>
      <c r="G38" s="32">
        <v>6</v>
      </c>
      <c r="H38" s="32">
        <v>13</v>
      </c>
      <c r="I38" s="32">
        <v>6</v>
      </c>
      <c r="J38" s="32">
        <v>11</v>
      </c>
      <c r="K38" s="32">
        <v>12</v>
      </c>
      <c r="L38" s="32">
        <v>11</v>
      </c>
      <c r="M38" s="32">
        <v>13</v>
      </c>
      <c r="N38" s="32">
        <v>6</v>
      </c>
      <c r="O38" s="32">
        <v>14</v>
      </c>
      <c r="P38" s="32">
        <v>14</v>
      </c>
      <c r="Q38" s="32">
        <f t="shared" si="0"/>
        <v>116</v>
      </c>
      <c r="R38" s="32">
        <f t="shared" si="1"/>
        <v>9.6666666666666661</v>
      </c>
      <c r="S38" s="32">
        <f t="shared" si="2"/>
        <v>3.9389277113386485</v>
      </c>
      <c r="T38" s="33" t="str">
        <f t="shared" si="3"/>
        <v>Ja</v>
      </c>
      <c r="U38" s="5">
        <f t="shared" si="4"/>
        <v>538878</v>
      </c>
      <c r="V38" s="34">
        <f t="shared" si="5"/>
        <v>9.6027081277056218E-3</v>
      </c>
      <c r="W38" s="1">
        <f t="shared" si="8"/>
        <v>0.9060585859141872</v>
      </c>
      <c r="X38" s="35" t="str">
        <f t="shared" si="6"/>
        <v>B</v>
      </c>
      <c r="Y38" s="36">
        <f t="shared" si="7"/>
        <v>0.95</v>
      </c>
      <c r="Z38">
        <f>ROUND(SQRT(2*Q38*$F$2/(B38*$F$1)),0)</f>
        <v>7</v>
      </c>
      <c r="AA38">
        <f>ROUND(NORMSINV(Y38)*SQRT(D38)*S38,0)</f>
        <v>5</v>
      </c>
      <c r="AB38">
        <f>Z38/2+AA38</f>
        <v>8.5</v>
      </c>
      <c r="AC38" s="7">
        <f>AB38*B38*$F$1</f>
        <v>3614.4549999999999</v>
      </c>
      <c r="AD38" s="7">
        <f>Q38*(1-Y38)*$F$3*(C38-B38)</f>
        <v>2790.2350000000019</v>
      </c>
    </row>
    <row r="39" spans="1:30" x14ac:dyDescent="0.35">
      <c r="A39" s="32">
        <v>27430</v>
      </c>
      <c r="B39" s="5">
        <v>3342</v>
      </c>
      <c r="C39" s="5">
        <v>4779</v>
      </c>
      <c r="D39" s="23">
        <v>0.5</v>
      </c>
      <c r="E39" s="32">
        <v>13</v>
      </c>
      <c r="F39" s="32">
        <v>4</v>
      </c>
      <c r="G39" s="32">
        <v>14</v>
      </c>
      <c r="H39" s="32">
        <v>12</v>
      </c>
      <c r="I39" s="32">
        <v>9</v>
      </c>
      <c r="J39" s="32">
        <v>7</v>
      </c>
      <c r="K39" s="32">
        <v>3</v>
      </c>
      <c r="L39" s="32">
        <v>8</v>
      </c>
      <c r="M39" s="32">
        <v>15</v>
      </c>
      <c r="N39" s="32">
        <v>10</v>
      </c>
      <c r="O39" s="32">
        <v>5</v>
      </c>
      <c r="P39" s="32">
        <v>4</v>
      </c>
      <c r="Q39" s="32">
        <f t="shared" si="0"/>
        <v>104</v>
      </c>
      <c r="R39" s="32">
        <f t="shared" si="1"/>
        <v>8.6666666666666661</v>
      </c>
      <c r="S39" s="32">
        <f t="shared" si="2"/>
        <v>4.1851106932973128</v>
      </c>
      <c r="T39" s="33" t="str">
        <f t="shared" si="3"/>
        <v>Ja</v>
      </c>
      <c r="U39" s="5">
        <f t="shared" si="4"/>
        <v>497016</v>
      </c>
      <c r="V39" s="34">
        <f t="shared" si="5"/>
        <v>8.8567348876735317E-3</v>
      </c>
      <c r="W39" s="1">
        <f t="shared" si="8"/>
        <v>0.91491532080186078</v>
      </c>
      <c r="X39" s="35" t="str">
        <f t="shared" si="6"/>
        <v>B</v>
      </c>
      <c r="Y39" s="36">
        <f t="shared" si="7"/>
        <v>0.95</v>
      </c>
      <c r="Z39">
        <f>ROUND(SQRT(2*Q39*$F$2/(B39*$F$1)),0)</f>
        <v>7</v>
      </c>
      <c r="AA39">
        <f>ROUND(NORMSINV(Y39)*SQRT(D39)*S39,0)</f>
        <v>5</v>
      </c>
      <c r="AB39">
        <f>Z39/2+AA39</f>
        <v>8.5</v>
      </c>
      <c r="AC39" s="7">
        <f>AB39*B39*$F$1</f>
        <v>3692.9100000000003</v>
      </c>
      <c r="AD39" s="7">
        <f>Q39*(1-Y39)*$F$3*(C39-B39)</f>
        <v>2615.340000000002</v>
      </c>
    </row>
    <row r="40" spans="1:30" x14ac:dyDescent="0.35">
      <c r="A40" s="32">
        <v>35361</v>
      </c>
      <c r="B40" s="5">
        <v>3211</v>
      </c>
      <c r="C40" s="5">
        <v>4816.5</v>
      </c>
      <c r="D40" s="23">
        <v>1.4</v>
      </c>
      <c r="E40" s="32">
        <v>7</v>
      </c>
      <c r="F40" s="32">
        <v>7</v>
      </c>
      <c r="G40" s="32">
        <v>9</v>
      </c>
      <c r="H40" s="32">
        <v>7</v>
      </c>
      <c r="I40" s="32">
        <v>5</v>
      </c>
      <c r="J40" s="32">
        <v>7</v>
      </c>
      <c r="K40" s="32">
        <v>11</v>
      </c>
      <c r="L40" s="32">
        <v>8</v>
      </c>
      <c r="M40" s="32">
        <v>7</v>
      </c>
      <c r="N40" s="32">
        <v>13</v>
      </c>
      <c r="O40" s="32">
        <v>14</v>
      </c>
      <c r="P40" s="32">
        <v>7</v>
      </c>
      <c r="Q40" s="32">
        <f t="shared" si="0"/>
        <v>102</v>
      </c>
      <c r="R40" s="32">
        <f t="shared" si="1"/>
        <v>8.5</v>
      </c>
      <c r="S40" s="32">
        <f t="shared" si="2"/>
        <v>2.7468990781342053</v>
      </c>
      <c r="T40" s="33" t="str">
        <f t="shared" si="3"/>
        <v>Ja</v>
      </c>
      <c r="U40" s="5">
        <f t="shared" si="4"/>
        <v>491283</v>
      </c>
      <c r="V40" s="34">
        <f t="shared" si="5"/>
        <v>8.7545738684889733E-3</v>
      </c>
      <c r="W40" s="1">
        <f t="shared" si="8"/>
        <v>0.92366989467034977</v>
      </c>
      <c r="X40" s="35" t="str">
        <f t="shared" si="6"/>
        <v>B</v>
      </c>
      <c r="Y40" s="36">
        <f t="shared" si="7"/>
        <v>0.95</v>
      </c>
      <c r="Z40">
        <f>ROUND(SQRT(2*Q40*$F$2/(B40*$F$1)),0)</f>
        <v>7</v>
      </c>
      <c r="AA40">
        <f>ROUND(NORMSINV(Y40)*SQRT(D40)*S40,0)</f>
        <v>5</v>
      </c>
      <c r="AB40">
        <f>Z40/2+AA40</f>
        <v>8.5</v>
      </c>
      <c r="AC40" s="7">
        <f>AB40*B40*$F$1</f>
        <v>3548.1550000000002</v>
      </c>
      <c r="AD40" s="7">
        <f>Q40*(1-Y40)*$F$3*(C40-B40)</f>
        <v>2865.8175000000028</v>
      </c>
    </row>
    <row r="41" spans="1:30" x14ac:dyDescent="0.35">
      <c r="A41" s="32">
        <v>28900</v>
      </c>
      <c r="B41" s="5">
        <v>3166</v>
      </c>
      <c r="C41" s="5">
        <v>4717.5</v>
      </c>
      <c r="D41" s="23">
        <v>0.4</v>
      </c>
      <c r="E41" s="32">
        <v>2</v>
      </c>
      <c r="F41" s="32">
        <v>13</v>
      </c>
      <c r="G41" s="32">
        <v>13</v>
      </c>
      <c r="H41" s="32">
        <v>6</v>
      </c>
      <c r="I41" s="32">
        <v>4</v>
      </c>
      <c r="J41" s="32">
        <v>4</v>
      </c>
      <c r="K41" s="32">
        <v>8</v>
      </c>
      <c r="L41" s="32">
        <v>12</v>
      </c>
      <c r="M41" s="32">
        <v>5</v>
      </c>
      <c r="N41" s="32">
        <v>9</v>
      </c>
      <c r="O41" s="32">
        <v>15</v>
      </c>
      <c r="P41" s="32">
        <v>12</v>
      </c>
      <c r="Q41" s="32">
        <f t="shared" si="0"/>
        <v>103</v>
      </c>
      <c r="R41" s="32">
        <f t="shared" si="1"/>
        <v>8.5833333333333339</v>
      </c>
      <c r="S41" s="32">
        <f t="shared" si="2"/>
        <v>4.3580298579087593</v>
      </c>
      <c r="T41" s="33" t="str">
        <f t="shared" si="3"/>
        <v>Ja</v>
      </c>
      <c r="U41" s="5">
        <f t="shared" si="4"/>
        <v>485902.5</v>
      </c>
      <c r="V41" s="34">
        <f t="shared" si="5"/>
        <v>8.658694335308699E-3</v>
      </c>
      <c r="W41" s="1">
        <f t="shared" si="8"/>
        <v>0.93232858900565851</v>
      </c>
      <c r="X41" s="35" t="str">
        <f t="shared" si="6"/>
        <v>B</v>
      </c>
      <c r="Y41" s="36">
        <f t="shared" si="7"/>
        <v>0.95</v>
      </c>
      <c r="Z41">
        <f>ROUND(SQRT(2*Q41*$F$2/(B41*$F$1)),0)</f>
        <v>7</v>
      </c>
      <c r="AA41">
        <f>ROUND(NORMSINV(Y41)*SQRT(D41)*S41,0)</f>
        <v>5</v>
      </c>
      <c r="AB41">
        <f>Z41/2+AA41</f>
        <v>8.5</v>
      </c>
      <c r="AC41" s="7">
        <f>AB41*B41*$F$1</f>
        <v>3498.4300000000003</v>
      </c>
      <c r="AD41" s="7">
        <f>Q41*(1-Y41)*$F$3*(C41-B41)</f>
        <v>2796.5787500000024</v>
      </c>
    </row>
    <row r="42" spans="1:30" x14ac:dyDescent="0.35">
      <c r="A42" s="32">
        <v>20256</v>
      </c>
      <c r="B42" s="5">
        <v>943</v>
      </c>
      <c r="C42" s="5">
        <v>1320</v>
      </c>
      <c r="D42" s="23">
        <v>0.3</v>
      </c>
      <c r="E42" s="32">
        <v>0</v>
      </c>
      <c r="F42" s="32">
        <v>0</v>
      </c>
      <c r="G42" s="32">
        <v>9</v>
      </c>
      <c r="H42" s="32">
        <v>8</v>
      </c>
      <c r="I42" s="32">
        <v>156</v>
      </c>
      <c r="J42" s="32">
        <v>145</v>
      </c>
      <c r="K42" s="32">
        <v>7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f t="shared" si="0"/>
        <v>325</v>
      </c>
      <c r="R42" s="32">
        <f t="shared" si="1"/>
        <v>27.083333333333332</v>
      </c>
      <c r="S42" s="32">
        <f t="shared" si="2"/>
        <v>57.802891298136998</v>
      </c>
      <c r="T42" s="33" t="str">
        <f t="shared" si="3"/>
        <v>Nee</v>
      </c>
      <c r="U42" s="5">
        <f t="shared" si="4"/>
        <v>429000</v>
      </c>
      <c r="V42" s="34">
        <f t="shared" si="5"/>
        <v>7.644702115851291E-3</v>
      </c>
      <c r="W42" s="1">
        <f t="shared" si="8"/>
        <v>0.93997329112150985</v>
      </c>
      <c r="X42" s="35" t="str">
        <f t="shared" si="6"/>
        <v>B</v>
      </c>
      <c r="Y42" s="36">
        <f t="shared" si="7"/>
        <v>0.95</v>
      </c>
    </row>
    <row r="43" spans="1:30" x14ac:dyDescent="0.35">
      <c r="A43" s="32">
        <v>49817</v>
      </c>
      <c r="B43" s="5">
        <v>3492</v>
      </c>
      <c r="C43" s="5">
        <v>4783.5</v>
      </c>
      <c r="D43" s="23">
        <v>0.3</v>
      </c>
      <c r="E43" s="32">
        <v>7</v>
      </c>
      <c r="F43" s="32">
        <v>5</v>
      </c>
      <c r="G43" s="32">
        <v>7</v>
      </c>
      <c r="H43" s="32">
        <v>14</v>
      </c>
      <c r="I43" s="32">
        <v>3</v>
      </c>
      <c r="J43" s="32">
        <v>4</v>
      </c>
      <c r="K43" s="32">
        <v>6</v>
      </c>
      <c r="L43" s="32">
        <v>5</v>
      </c>
      <c r="M43" s="32">
        <v>4</v>
      </c>
      <c r="N43" s="32">
        <v>14</v>
      </c>
      <c r="O43" s="32">
        <v>14</v>
      </c>
      <c r="P43" s="32">
        <v>5</v>
      </c>
      <c r="Q43" s="32">
        <f t="shared" si="0"/>
        <v>88</v>
      </c>
      <c r="R43" s="32">
        <f t="shared" si="1"/>
        <v>7.333333333333333</v>
      </c>
      <c r="S43" s="32">
        <f t="shared" si="2"/>
        <v>4.1851106932973128</v>
      </c>
      <c r="T43" s="33" t="str">
        <f t="shared" si="3"/>
        <v>Ja</v>
      </c>
      <c r="U43" s="5">
        <f t="shared" si="4"/>
        <v>420948</v>
      </c>
      <c r="V43" s="34">
        <f t="shared" si="5"/>
        <v>7.5012169376768509E-3</v>
      </c>
      <c r="W43" s="1">
        <f t="shared" si="8"/>
        <v>0.94747450805918665</v>
      </c>
      <c r="X43" s="35" t="str">
        <f t="shared" si="6"/>
        <v>B</v>
      </c>
      <c r="Y43" s="36">
        <f t="shared" si="7"/>
        <v>0.95</v>
      </c>
      <c r="Z43">
        <f>ROUND(SQRT(2*Q43*$F$2/(B43*$F$1)),0)</f>
        <v>6</v>
      </c>
      <c r="AA43">
        <f>ROUND(NORMSINV(Y43)*SQRT(D43)*S43,0)</f>
        <v>4</v>
      </c>
      <c r="AB43">
        <f>Z43/2+AA43</f>
        <v>7</v>
      </c>
      <c r="AC43" s="7">
        <f>AB43*B43*$F$1</f>
        <v>3177.7200000000003</v>
      </c>
      <c r="AD43" s="7">
        <f>Q43*(1-Y43)*$F$3*(C43-B43)</f>
        <v>1988.9100000000017</v>
      </c>
    </row>
    <row r="44" spans="1:30" x14ac:dyDescent="0.35">
      <c r="A44" s="32">
        <v>27426</v>
      </c>
      <c r="B44" s="5">
        <v>3399</v>
      </c>
      <c r="C44" s="5">
        <v>4758</v>
      </c>
      <c r="D44" s="23">
        <v>0.9</v>
      </c>
      <c r="E44" s="32">
        <v>4</v>
      </c>
      <c r="F44" s="32">
        <v>7</v>
      </c>
      <c r="G44" s="32">
        <v>9</v>
      </c>
      <c r="H44" s="32">
        <v>3</v>
      </c>
      <c r="I44" s="32">
        <v>12</v>
      </c>
      <c r="J44" s="32">
        <v>4</v>
      </c>
      <c r="K44" s="32">
        <v>14</v>
      </c>
      <c r="L44" s="32">
        <v>3</v>
      </c>
      <c r="M44" s="32">
        <v>11</v>
      </c>
      <c r="N44" s="32">
        <v>9</v>
      </c>
      <c r="O44" s="32">
        <v>4</v>
      </c>
      <c r="P44" s="32">
        <v>6</v>
      </c>
      <c r="Q44" s="32">
        <f t="shared" si="0"/>
        <v>86</v>
      </c>
      <c r="R44" s="32">
        <f t="shared" si="1"/>
        <v>7.166666666666667</v>
      </c>
      <c r="S44" s="32">
        <f t="shared" si="2"/>
        <v>3.785938897200182</v>
      </c>
      <c r="T44" s="33" t="str">
        <f t="shared" si="3"/>
        <v>Ja</v>
      </c>
      <c r="U44" s="5">
        <f t="shared" si="4"/>
        <v>409188</v>
      </c>
      <c r="V44" s="34">
        <f t="shared" si="5"/>
        <v>7.2916558726828853E-3</v>
      </c>
      <c r="W44" s="1">
        <f t="shared" si="8"/>
        <v>0.95476616393186953</v>
      </c>
      <c r="X44" s="35" t="str">
        <f t="shared" si="6"/>
        <v>C</v>
      </c>
      <c r="Y44" s="36">
        <f t="shared" si="7"/>
        <v>0.9</v>
      </c>
      <c r="Z44">
        <f>ROUND(SQRT(2*Q44*$F$2/(B44*$F$1)),0)</f>
        <v>6</v>
      </c>
      <c r="AA44">
        <f>ROUND(NORMSINV(Y44)*SQRT(D44)*S44,0)</f>
        <v>5</v>
      </c>
      <c r="AB44">
        <f>Z44/2+AA44</f>
        <v>8</v>
      </c>
      <c r="AC44" s="7">
        <f>AB44*B44*$F$1</f>
        <v>3534.96</v>
      </c>
      <c r="AD44" s="7">
        <f>Q44*(1-Y44)*$F$3*(C44-B44)</f>
        <v>4090.5899999999983</v>
      </c>
    </row>
    <row r="45" spans="1:30" x14ac:dyDescent="0.35">
      <c r="A45" s="32">
        <v>28396</v>
      </c>
      <c r="B45" s="5">
        <v>3648</v>
      </c>
      <c r="C45" s="5">
        <v>4852.5</v>
      </c>
      <c r="D45" s="23">
        <v>0</v>
      </c>
      <c r="E45" s="32">
        <v>4</v>
      </c>
      <c r="F45" s="32">
        <v>10</v>
      </c>
      <c r="G45" s="32">
        <v>2</v>
      </c>
      <c r="H45" s="32">
        <v>10</v>
      </c>
      <c r="I45" s="32">
        <v>4</v>
      </c>
      <c r="J45" s="32">
        <v>5</v>
      </c>
      <c r="K45" s="32">
        <v>8</v>
      </c>
      <c r="L45" s="32">
        <v>6</v>
      </c>
      <c r="M45" s="32">
        <v>10</v>
      </c>
      <c r="N45" s="32">
        <v>14</v>
      </c>
      <c r="O45" s="32">
        <v>2</v>
      </c>
      <c r="P45" s="32">
        <v>4</v>
      </c>
      <c r="Q45" s="32">
        <f t="shared" si="0"/>
        <v>79</v>
      </c>
      <c r="R45" s="32">
        <f t="shared" si="1"/>
        <v>6.583333333333333</v>
      </c>
      <c r="S45" s="32">
        <f t="shared" si="2"/>
        <v>3.776923551668939</v>
      </c>
      <c r="T45" s="33" t="str">
        <f t="shared" si="3"/>
        <v>Ja</v>
      </c>
      <c r="U45" s="5">
        <f t="shared" si="4"/>
        <v>383347.5</v>
      </c>
      <c r="V45" s="34">
        <f t="shared" si="5"/>
        <v>6.8311828539773956E-3</v>
      </c>
      <c r="W45" s="1">
        <f t="shared" si="8"/>
        <v>0.96159734678584696</v>
      </c>
      <c r="X45" s="35" t="str">
        <f t="shared" si="6"/>
        <v>C</v>
      </c>
      <c r="Y45" s="36">
        <f t="shared" si="7"/>
        <v>0.9</v>
      </c>
      <c r="Z45">
        <f>ROUND(SQRT(2*Q45*$F$2/(B45*$F$1)),0)</f>
        <v>6</v>
      </c>
      <c r="AA45">
        <f>ROUND(NORMSINV(Y45)*SQRT(D45)*S45,0)</f>
        <v>0</v>
      </c>
      <c r="AB45">
        <f>Z45/2+AA45</f>
        <v>3</v>
      </c>
      <c r="AC45" s="7">
        <f>AB45*B45*$F$1</f>
        <v>1422.72</v>
      </c>
      <c r="AD45" s="7">
        <f>Q45*(1-Y45)*$F$3*(C45-B45)</f>
        <v>3330.4424999999992</v>
      </c>
    </row>
    <row r="46" spans="1:30" x14ac:dyDescent="0.35">
      <c r="A46" s="32">
        <v>61299</v>
      </c>
      <c r="B46" s="5">
        <v>610</v>
      </c>
      <c r="C46" s="5">
        <v>890</v>
      </c>
      <c r="D46" s="23">
        <v>1.7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76</v>
      </c>
      <c r="N46" s="32">
        <v>87</v>
      </c>
      <c r="O46" s="32">
        <v>91</v>
      </c>
      <c r="P46" s="32">
        <v>132</v>
      </c>
      <c r="Q46" s="32">
        <f t="shared" si="0"/>
        <v>386</v>
      </c>
      <c r="R46" s="32">
        <f t="shared" si="1"/>
        <v>32.166666666666664</v>
      </c>
      <c r="S46" s="32">
        <f t="shared" si="2"/>
        <v>49.206121816725449</v>
      </c>
      <c r="T46" s="33" t="str">
        <f t="shared" si="3"/>
        <v>Nee</v>
      </c>
      <c r="U46" s="5">
        <f t="shared" si="4"/>
        <v>343540</v>
      </c>
      <c r="V46" s="34">
        <f t="shared" si="5"/>
        <v>6.1218204309546678E-3</v>
      </c>
      <c r="W46" s="1">
        <f t="shared" si="8"/>
        <v>0.96771916721680162</v>
      </c>
      <c r="X46" s="35" t="str">
        <f t="shared" si="6"/>
        <v>C</v>
      </c>
      <c r="Y46" s="36">
        <f t="shared" si="7"/>
        <v>0.9</v>
      </c>
    </row>
    <row r="47" spans="1:30" x14ac:dyDescent="0.35">
      <c r="A47" s="32">
        <v>20356</v>
      </c>
      <c r="B47" s="5">
        <v>926</v>
      </c>
      <c r="C47" s="5">
        <v>1250</v>
      </c>
      <c r="D47" s="23">
        <v>1.5</v>
      </c>
      <c r="E47" s="32">
        <v>0</v>
      </c>
      <c r="F47" s="32">
        <v>0</v>
      </c>
      <c r="G47" s="32">
        <v>0</v>
      </c>
      <c r="H47" s="32">
        <v>0</v>
      </c>
      <c r="I47" s="32">
        <v>109</v>
      </c>
      <c r="J47" s="32">
        <v>150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f t="shared" si="0"/>
        <v>259</v>
      </c>
      <c r="R47" s="32">
        <f t="shared" si="1"/>
        <v>21.583333333333332</v>
      </c>
      <c r="S47" s="32">
        <f t="shared" si="2"/>
        <v>51.160102234124402</v>
      </c>
      <c r="T47" s="33" t="str">
        <f t="shared" si="3"/>
        <v>Nee</v>
      </c>
      <c r="U47" s="5">
        <f t="shared" si="4"/>
        <v>323750</v>
      </c>
      <c r="V47" s="34">
        <f t="shared" si="5"/>
        <v>5.7691662237922036E-3</v>
      </c>
      <c r="W47" s="1">
        <f t="shared" si="8"/>
        <v>0.97348833344059382</v>
      </c>
      <c r="X47" s="35" t="str">
        <f t="shared" si="6"/>
        <v>C</v>
      </c>
      <c r="Y47" s="36">
        <f t="shared" si="7"/>
        <v>0.9</v>
      </c>
    </row>
    <row r="48" spans="1:30" x14ac:dyDescent="0.35">
      <c r="A48" s="32">
        <v>62949</v>
      </c>
      <c r="B48" s="5">
        <v>337</v>
      </c>
      <c r="C48" s="5">
        <v>451</v>
      </c>
      <c r="D48" s="23">
        <v>0.9</v>
      </c>
      <c r="E48" s="32">
        <v>0</v>
      </c>
      <c r="F48" s="32">
        <v>2</v>
      </c>
      <c r="G48" s="32">
        <v>123</v>
      </c>
      <c r="H48" s="32">
        <v>154</v>
      </c>
      <c r="I48" s="32">
        <v>165</v>
      </c>
      <c r="J48" s="32">
        <v>102</v>
      </c>
      <c r="K48" s="32">
        <v>1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f t="shared" si="0"/>
        <v>547</v>
      </c>
      <c r="R48" s="32">
        <f t="shared" si="1"/>
        <v>45.583333333333336</v>
      </c>
      <c r="S48" s="32">
        <f t="shared" si="2"/>
        <v>68.45364500997384</v>
      </c>
      <c r="T48" s="33" t="str">
        <f t="shared" si="3"/>
        <v>Nee</v>
      </c>
      <c r="U48" s="5">
        <f t="shared" si="4"/>
        <v>246697</v>
      </c>
      <c r="V48" s="34">
        <f t="shared" si="5"/>
        <v>4.396095752620433E-3</v>
      </c>
      <c r="W48" s="1">
        <f t="shared" si="8"/>
        <v>0.97788442919321428</v>
      </c>
      <c r="X48" s="35" t="str">
        <f t="shared" si="6"/>
        <v>C</v>
      </c>
      <c r="Y48" s="36">
        <f t="shared" si="7"/>
        <v>0.9</v>
      </c>
    </row>
    <row r="49" spans="1:30" x14ac:dyDescent="0.35">
      <c r="A49" s="32">
        <v>20593</v>
      </c>
      <c r="B49" s="5">
        <v>719</v>
      </c>
      <c r="C49" s="5">
        <v>1000</v>
      </c>
      <c r="D49" s="23">
        <v>0.5</v>
      </c>
      <c r="E49" s="32">
        <v>18</v>
      </c>
      <c r="F49" s="32">
        <v>18</v>
      </c>
      <c r="G49" s="32">
        <v>20</v>
      </c>
      <c r="H49" s="32">
        <v>22</v>
      </c>
      <c r="I49" s="32">
        <v>24</v>
      </c>
      <c r="J49" s="32">
        <v>17</v>
      </c>
      <c r="K49" s="32">
        <v>14</v>
      </c>
      <c r="L49" s="32">
        <v>15</v>
      </c>
      <c r="M49" s="32">
        <v>23</v>
      </c>
      <c r="N49" s="32">
        <v>14</v>
      </c>
      <c r="O49" s="32">
        <v>19</v>
      </c>
      <c r="P49" s="32">
        <v>20</v>
      </c>
      <c r="Q49" s="32">
        <f t="shared" si="0"/>
        <v>224</v>
      </c>
      <c r="R49" s="32">
        <f t="shared" si="1"/>
        <v>18.666666666666668</v>
      </c>
      <c r="S49" s="32">
        <f t="shared" si="2"/>
        <v>3.3393884397468914</v>
      </c>
      <c r="T49" s="33" t="str">
        <f t="shared" si="3"/>
        <v>Ja</v>
      </c>
      <c r="U49" s="5">
        <f t="shared" si="4"/>
        <v>224000</v>
      </c>
      <c r="V49" s="34">
        <f t="shared" si="5"/>
        <v>3.9916393332183895E-3</v>
      </c>
      <c r="W49" s="1">
        <f t="shared" si="8"/>
        <v>0.98187606852643272</v>
      </c>
      <c r="X49" s="35" t="str">
        <f t="shared" si="6"/>
        <v>C</v>
      </c>
      <c r="Y49" s="36">
        <f t="shared" si="7"/>
        <v>0.9</v>
      </c>
      <c r="Z49">
        <f>ROUND(SQRT(2*Q49*$F$2/(B49*$F$1)),0)</f>
        <v>21</v>
      </c>
      <c r="AA49">
        <f>ROUND(NORMSINV(Y49)*SQRT(D49)*S49,0)</f>
        <v>3</v>
      </c>
      <c r="AB49">
        <f>Z49/2+AA49</f>
        <v>13.5</v>
      </c>
      <c r="AC49" s="7">
        <f>AB49*B49*$F$1</f>
        <v>1261.845</v>
      </c>
      <c r="AD49" s="7">
        <f>Q49*(1-Y49)*$F$3*(C49-B49)</f>
        <v>2203.0399999999995</v>
      </c>
    </row>
    <row r="50" spans="1:30" x14ac:dyDescent="0.35">
      <c r="A50" s="32">
        <v>60466</v>
      </c>
      <c r="B50" s="5">
        <v>479</v>
      </c>
      <c r="C50" s="5">
        <v>666</v>
      </c>
      <c r="D50" s="23">
        <v>1.3</v>
      </c>
      <c r="E50" s="32">
        <v>0</v>
      </c>
      <c r="F50" s="32">
        <v>7</v>
      </c>
      <c r="G50" s="32">
        <v>77</v>
      </c>
      <c r="H50" s="32">
        <v>67</v>
      </c>
      <c r="I50" s="32">
        <v>76</v>
      </c>
      <c r="J50" s="32">
        <v>88</v>
      </c>
      <c r="K50" s="32">
        <v>5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f t="shared" si="0"/>
        <v>320</v>
      </c>
      <c r="R50" s="32">
        <f t="shared" si="1"/>
        <v>26.666666666666668</v>
      </c>
      <c r="S50" s="32">
        <f t="shared" si="2"/>
        <v>37.512018276167375</v>
      </c>
      <c r="T50" s="33" t="str">
        <f t="shared" si="3"/>
        <v>Nee</v>
      </c>
      <c r="U50" s="5">
        <f t="shared" si="4"/>
        <v>213120</v>
      </c>
      <c r="V50" s="34">
        <f t="shared" si="5"/>
        <v>3.7977597084620676E-3</v>
      </c>
      <c r="W50" s="1">
        <f t="shared" si="8"/>
        <v>0.9856738282348948</v>
      </c>
      <c r="X50" s="35" t="str">
        <f t="shared" si="6"/>
        <v>C</v>
      </c>
      <c r="Y50" s="36">
        <f t="shared" si="7"/>
        <v>0.9</v>
      </c>
    </row>
    <row r="51" spans="1:30" x14ac:dyDescent="0.35">
      <c r="A51" s="32">
        <v>62467</v>
      </c>
      <c r="B51" s="5">
        <v>312</v>
      </c>
      <c r="C51" s="5">
        <v>456</v>
      </c>
      <c r="D51" s="23">
        <v>1.9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77</v>
      </c>
      <c r="N51" s="32">
        <v>88</v>
      </c>
      <c r="O51" s="32">
        <v>99</v>
      </c>
      <c r="P51" s="32">
        <v>77</v>
      </c>
      <c r="Q51" s="32">
        <f t="shared" si="0"/>
        <v>341</v>
      </c>
      <c r="R51" s="32">
        <f t="shared" si="1"/>
        <v>28.416666666666668</v>
      </c>
      <c r="S51" s="32">
        <f t="shared" si="2"/>
        <v>42.333005248072489</v>
      </c>
      <c r="T51" s="33" t="str">
        <f t="shared" si="3"/>
        <v>Nee</v>
      </c>
      <c r="U51" s="5">
        <f t="shared" si="4"/>
        <v>155496</v>
      </c>
      <c r="V51" s="34">
        <f t="shared" si="5"/>
        <v>2.7709104899916372E-3</v>
      </c>
      <c r="W51" s="1">
        <f t="shared" si="8"/>
        <v>0.98844473872488647</v>
      </c>
      <c r="X51" s="35" t="str">
        <f t="shared" si="6"/>
        <v>C</v>
      </c>
      <c r="Y51" s="36">
        <f t="shared" si="7"/>
        <v>0.9</v>
      </c>
    </row>
    <row r="52" spans="1:30" x14ac:dyDescent="0.35">
      <c r="A52" s="32">
        <v>62466</v>
      </c>
      <c r="B52" s="5">
        <v>159</v>
      </c>
      <c r="C52" s="5">
        <v>234</v>
      </c>
      <c r="D52" s="23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99</v>
      </c>
      <c r="N52" s="32">
        <v>99</v>
      </c>
      <c r="O52" s="32">
        <v>102</v>
      </c>
      <c r="P52" s="32">
        <v>132</v>
      </c>
      <c r="Q52" s="32">
        <f t="shared" si="0"/>
        <v>432</v>
      </c>
      <c r="R52" s="32">
        <f t="shared" si="1"/>
        <v>36</v>
      </c>
      <c r="S52" s="32">
        <f t="shared" si="2"/>
        <v>53.833075334779082</v>
      </c>
      <c r="T52" s="33" t="str">
        <f t="shared" si="3"/>
        <v>Nee</v>
      </c>
      <c r="U52" s="5">
        <f t="shared" si="4"/>
        <v>101088</v>
      </c>
      <c r="V52" s="34">
        <f t="shared" si="5"/>
        <v>1.8013698076624132E-3</v>
      </c>
      <c r="W52" s="1">
        <f t="shared" si="8"/>
        <v>0.99024610853254891</v>
      </c>
      <c r="X52" s="35" t="str">
        <f t="shared" si="6"/>
        <v>C</v>
      </c>
      <c r="Y52" s="36">
        <f t="shared" si="7"/>
        <v>0.9</v>
      </c>
    </row>
    <row r="53" spans="1:30" x14ac:dyDescent="0.35">
      <c r="A53" s="32">
        <v>60467</v>
      </c>
      <c r="B53" s="5">
        <v>297</v>
      </c>
      <c r="C53" s="5">
        <v>443</v>
      </c>
      <c r="D53" s="23">
        <v>0.6</v>
      </c>
      <c r="E53" s="32">
        <v>0</v>
      </c>
      <c r="F53" s="32">
        <v>4</v>
      </c>
      <c r="G53" s="32">
        <v>44</v>
      </c>
      <c r="H53" s="32">
        <v>55</v>
      </c>
      <c r="I53" s="32">
        <v>43</v>
      </c>
      <c r="J53" s="32">
        <v>76</v>
      </c>
      <c r="K53" s="32">
        <v>3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f t="shared" si="0"/>
        <v>225</v>
      </c>
      <c r="R53" s="32">
        <f t="shared" si="1"/>
        <v>18.75</v>
      </c>
      <c r="S53" s="32">
        <f t="shared" si="2"/>
        <v>27.621220432519237</v>
      </c>
      <c r="T53" s="33" t="str">
        <f t="shared" si="3"/>
        <v>Nee</v>
      </c>
      <c r="U53" s="5">
        <f t="shared" si="4"/>
        <v>99675</v>
      </c>
      <c r="V53" s="34">
        <f t="shared" si="5"/>
        <v>1.7761904041899241E-3</v>
      </c>
      <c r="W53" s="1">
        <f t="shared" si="8"/>
        <v>0.99202229893673888</v>
      </c>
      <c r="X53" s="35" t="str">
        <f t="shared" si="6"/>
        <v>C</v>
      </c>
      <c r="Y53" s="36">
        <f t="shared" si="7"/>
        <v>0.9</v>
      </c>
    </row>
    <row r="54" spans="1:30" x14ac:dyDescent="0.35">
      <c r="A54" s="32">
        <v>62932</v>
      </c>
      <c r="B54" s="5">
        <v>159</v>
      </c>
      <c r="C54" s="5">
        <v>234</v>
      </c>
      <c r="D54" s="23">
        <v>1.5</v>
      </c>
      <c r="E54" s="32">
        <v>0</v>
      </c>
      <c r="F54" s="32">
        <v>7</v>
      </c>
      <c r="G54" s="32">
        <v>88</v>
      </c>
      <c r="H54" s="32">
        <v>97</v>
      </c>
      <c r="I54" s="32">
        <v>65</v>
      </c>
      <c r="J54" s="32">
        <v>76</v>
      </c>
      <c r="K54" s="32">
        <v>6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f t="shared" si="0"/>
        <v>339</v>
      </c>
      <c r="R54" s="32">
        <f t="shared" si="1"/>
        <v>28.25</v>
      </c>
      <c r="S54" s="32">
        <f t="shared" si="2"/>
        <v>40.070676197302824</v>
      </c>
      <c r="T54" s="33" t="str">
        <f t="shared" si="3"/>
        <v>Nee</v>
      </c>
      <c r="U54" s="5">
        <f t="shared" si="4"/>
        <v>79326</v>
      </c>
      <c r="V54" s="34">
        <f t="shared" si="5"/>
        <v>1.4135749185128659E-3</v>
      </c>
      <c r="W54" s="1">
        <f t="shared" si="8"/>
        <v>0.99343587385525178</v>
      </c>
      <c r="X54" s="35" t="str">
        <f t="shared" si="6"/>
        <v>C</v>
      </c>
      <c r="Y54" s="36">
        <f t="shared" si="7"/>
        <v>0.9</v>
      </c>
    </row>
    <row r="55" spans="1:30" x14ac:dyDescent="0.35">
      <c r="A55" s="32">
        <v>60475</v>
      </c>
      <c r="B55" s="5">
        <v>608</v>
      </c>
      <c r="C55" s="5">
        <v>876</v>
      </c>
      <c r="D55" s="23">
        <v>1.3</v>
      </c>
      <c r="E55" s="32">
        <v>7</v>
      </c>
      <c r="F55" s="32">
        <v>6</v>
      </c>
      <c r="G55" s="32">
        <v>8</v>
      </c>
      <c r="H55" s="32">
        <v>2</v>
      </c>
      <c r="I55" s="32">
        <v>3</v>
      </c>
      <c r="J55" s="32">
        <v>3</v>
      </c>
      <c r="K55" s="32">
        <v>14</v>
      </c>
      <c r="L55" s="32">
        <v>4</v>
      </c>
      <c r="M55" s="32">
        <v>14</v>
      </c>
      <c r="N55" s="32">
        <v>8</v>
      </c>
      <c r="O55" s="32">
        <v>3</v>
      </c>
      <c r="P55" s="32">
        <v>6</v>
      </c>
      <c r="Q55" s="32">
        <f t="shared" si="0"/>
        <v>78</v>
      </c>
      <c r="R55" s="32">
        <f t="shared" si="1"/>
        <v>6.5</v>
      </c>
      <c r="S55" s="32">
        <f t="shared" si="2"/>
        <v>4.0564202758769277</v>
      </c>
      <c r="T55" s="33" t="str">
        <f t="shared" si="3"/>
        <v>Ja</v>
      </c>
      <c r="U55" s="5">
        <f t="shared" si="4"/>
        <v>68328</v>
      </c>
      <c r="V55" s="34">
        <f t="shared" si="5"/>
        <v>1.2175925551792238E-3</v>
      </c>
      <c r="W55" s="1">
        <f t="shared" si="8"/>
        <v>0.99465346641043095</v>
      </c>
      <c r="X55" s="35" t="str">
        <f t="shared" si="6"/>
        <v>C</v>
      </c>
      <c r="Y55" s="36">
        <f t="shared" si="7"/>
        <v>0.9</v>
      </c>
      <c r="Z55">
        <f>ROUND(SQRT(2*Q55*$F$2/(B55*$F$1)),0)</f>
        <v>14</v>
      </c>
      <c r="AA55">
        <f>ROUND(NORMSINV(Y55)*SQRT(D55)*S55,0)</f>
        <v>6</v>
      </c>
      <c r="AB55">
        <f>Z55/2+AA55</f>
        <v>13</v>
      </c>
      <c r="AC55" s="7">
        <f>AB55*B55*$F$1</f>
        <v>1027.52</v>
      </c>
      <c r="AD55" s="7">
        <f>Q55*(1-Y55)*$F$3*(C55-B55)</f>
        <v>731.63999999999976</v>
      </c>
    </row>
    <row r="56" spans="1:30" x14ac:dyDescent="0.35">
      <c r="A56" s="32">
        <v>20592</v>
      </c>
      <c r="B56" s="5">
        <v>411</v>
      </c>
      <c r="C56" s="5">
        <v>600</v>
      </c>
      <c r="D56" s="23">
        <v>1.3</v>
      </c>
      <c r="E56" s="32">
        <v>4</v>
      </c>
      <c r="F56" s="32">
        <v>9</v>
      </c>
      <c r="G56" s="32">
        <v>8</v>
      </c>
      <c r="H56" s="32">
        <v>12</v>
      </c>
      <c r="I56" s="32">
        <v>2</v>
      </c>
      <c r="J56" s="32">
        <v>5</v>
      </c>
      <c r="K56" s="32">
        <v>4</v>
      </c>
      <c r="L56" s="32">
        <v>13</v>
      </c>
      <c r="M56" s="32">
        <v>12</v>
      </c>
      <c r="N56" s="32">
        <v>14</v>
      </c>
      <c r="O56" s="32">
        <v>6</v>
      </c>
      <c r="P56" s="32">
        <v>6</v>
      </c>
      <c r="Q56" s="32">
        <f t="shared" si="0"/>
        <v>95</v>
      </c>
      <c r="R56" s="32">
        <f t="shared" si="1"/>
        <v>7.916666666666667</v>
      </c>
      <c r="S56" s="32">
        <f t="shared" si="2"/>
        <v>4.0330077504452566</v>
      </c>
      <c r="T56" s="33" t="str">
        <f t="shared" si="3"/>
        <v>Ja</v>
      </c>
      <c r="U56" s="5">
        <f t="shared" si="4"/>
        <v>57000</v>
      </c>
      <c r="V56" s="34">
        <f t="shared" si="5"/>
        <v>1.0157296517564651E-3</v>
      </c>
      <c r="W56" s="1">
        <f t="shared" si="8"/>
        <v>0.9956691960621874</v>
      </c>
      <c r="X56" s="35" t="str">
        <f t="shared" si="6"/>
        <v>C</v>
      </c>
      <c r="Y56" s="36">
        <f t="shared" si="7"/>
        <v>0.9</v>
      </c>
      <c r="Z56">
        <f>ROUND(SQRT(2*Q56*$F$2/(B56*$F$1)),0)</f>
        <v>18</v>
      </c>
      <c r="AA56">
        <f>ROUND(NORMSINV(Y56)*SQRT(D56)*S56,0)</f>
        <v>6</v>
      </c>
      <c r="AB56">
        <f>Z56/2+AA56</f>
        <v>15</v>
      </c>
      <c r="AC56" s="7">
        <f>AB56*B56*$F$1</f>
        <v>801.45</v>
      </c>
      <c r="AD56" s="7">
        <f>Q56*(1-Y56)*$F$3*(C56-B56)</f>
        <v>628.42499999999984</v>
      </c>
    </row>
    <row r="57" spans="1:30" x14ac:dyDescent="0.35">
      <c r="A57" s="32">
        <v>60474</v>
      </c>
      <c r="B57" s="5">
        <v>393</v>
      </c>
      <c r="C57" s="5">
        <v>543</v>
      </c>
      <c r="D57" s="23">
        <v>0.5</v>
      </c>
      <c r="E57" s="32">
        <v>6</v>
      </c>
      <c r="F57" s="32">
        <v>8</v>
      </c>
      <c r="G57" s="32">
        <v>12</v>
      </c>
      <c r="H57" s="32">
        <v>15</v>
      </c>
      <c r="I57" s="32">
        <v>9</v>
      </c>
      <c r="J57" s="32">
        <v>9</v>
      </c>
      <c r="K57" s="32">
        <v>5</v>
      </c>
      <c r="L57" s="32">
        <v>3</v>
      </c>
      <c r="M57" s="32">
        <v>4</v>
      </c>
      <c r="N57" s="32">
        <v>10</v>
      </c>
      <c r="O57" s="32">
        <v>15</v>
      </c>
      <c r="P57" s="32">
        <v>6</v>
      </c>
      <c r="Q57" s="32">
        <f t="shared" si="0"/>
        <v>102</v>
      </c>
      <c r="R57" s="32">
        <f t="shared" si="1"/>
        <v>8.5</v>
      </c>
      <c r="S57" s="32">
        <f t="shared" si="2"/>
        <v>3.9886201760873283</v>
      </c>
      <c r="T57" s="33" t="str">
        <f t="shared" si="3"/>
        <v>Ja</v>
      </c>
      <c r="U57" s="5">
        <f t="shared" si="4"/>
        <v>55386</v>
      </c>
      <c r="V57" s="34">
        <f t="shared" si="5"/>
        <v>9.8696846477515062E-4</v>
      </c>
      <c r="W57" s="1">
        <f t="shared" si="8"/>
        <v>0.9966561645269626</v>
      </c>
      <c r="X57" s="35" t="str">
        <f t="shared" si="6"/>
        <v>C</v>
      </c>
      <c r="Y57" s="36">
        <f t="shared" si="7"/>
        <v>0.9</v>
      </c>
      <c r="Z57">
        <f>ROUND(SQRT(2*Q57*$F$2/(B57*$F$1)),0)</f>
        <v>19</v>
      </c>
      <c r="AA57">
        <f>ROUND(NORMSINV(Y57)*SQRT(D57)*S57,0)</f>
        <v>4</v>
      </c>
      <c r="AB57">
        <f>Z57/2+AA57</f>
        <v>13.5</v>
      </c>
      <c r="AC57" s="7">
        <f>AB57*B57*$F$1</f>
        <v>689.71500000000003</v>
      </c>
      <c r="AD57" s="7">
        <f>Q57*(1-Y57)*$F$3*(C57-B57)</f>
        <v>535.49999999999989</v>
      </c>
    </row>
    <row r="58" spans="1:30" x14ac:dyDescent="0.35">
      <c r="A58" s="32">
        <v>62069</v>
      </c>
      <c r="B58" s="5">
        <v>315</v>
      </c>
      <c r="C58" s="5">
        <v>447</v>
      </c>
      <c r="D58" s="23">
        <v>1.2</v>
      </c>
      <c r="E58" s="32">
        <v>12</v>
      </c>
      <c r="F58" s="32">
        <v>6</v>
      </c>
      <c r="G58" s="32">
        <v>9</v>
      </c>
      <c r="H58" s="32">
        <v>4</v>
      </c>
      <c r="I58" s="32">
        <v>7</v>
      </c>
      <c r="J58" s="32">
        <v>11</v>
      </c>
      <c r="K58" s="32">
        <v>14</v>
      </c>
      <c r="L58" s="32">
        <v>6</v>
      </c>
      <c r="M58" s="32">
        <v>12</v>
      </c>
      <c r="N58" s="32">
        <v>6</v>
      </c>
      <c r="O58" s="32">
        <v>7</v>
      </c>
      <c r="P58" s="32">
        <v>13</v>
      </c>
      <c r="Q58" s="32">
        <f t="shared" si="0"/>
        <v>107</v>
      </c>
      <c r="R58" s="32">
        <f t="shared" si="1"/>
        <v>8.9166666666666661</v>
      </c>
      <c r="S58" s="32">
        <f t="shared" si="2"/>
        <v>3.3427896171076066</v>
      </c>
      <c r="T58" s="33" t="str">
        <f t="shared" si="3"/>
        <v>Ja</v>
      </c>
      <c r="U58" s="5">
        <f t="shared" si="4"/>
        <v>47829</v>
      </c>
      <c r="V58" s="34">
        <f t="shared" si="5"/>
        <v>8.5230409673438549E-4</v>
      </c>
      <c r="W58" s="1">
        <f t="shared" si="8"/>
        <v>0.99750846862369702</v>
      </c>
      <c r="X58" s="35" t="str">
        <f t="shared" si="6"/>
        <v>C</v>
      </c>
      <c r="Y58" s="36">
        <f t="shared" si="7"/>
        <v>0.9</v>
      </c>
      <c r="Z58">
        <f>ROUND(SQRT(2*Q58*$F$2/(B58*$F$1)),0)</f>
        <v>22</v>
      </c>
      <c r="AA58">
        <f>ROUND(NORMSINV(Y58)*SQRT(D58)*S58,0)</f>
        <v>5</v>
      </c>
      <c r="AB58">
        <f>Z58/2+AA58</f>
        <v>16</v>
      </c>
      <c r="AC58" s="7">
        <f>AB58*B58*$F$1</f>
        <v>655.20000000000005</v>
      </c>
      <c r="AD58" s="7">
        <f>Q58*(1-Y58)*$F$3*(C58-B58)</f>
        <v>494.33999999999986</v>
      </c>
    </row>
    <row r="59" spans="1:30" x14ac:dyDescent="0.35">
      <c r="A59" s="32">
        <v>60481</v>
      </c>
      <c r="B59" s="5">
        <v>259</v>
      </c>
      <c r="C59" s="5">
        <v>368</v>
      </c>
      <c r="D59" s="23">
        <v>0.5</v>
      </c>
      <c r="E59" s="32">
        <v>4</v>
      </c>
      <c r="F59" s="32">
        <v>11</v>
      </c>
      <c r="G59" s="32">
        <v>5</v>
      </c>
      <c r="H59" s="32">
        <v>8</v>
      </c>
      <c r="I59" s="32">
        <v>14</v>
      </c>
      <c r="J59" s="32">
        <v>7</v>
      </c>
      <c r="K59" s="32">
        <v>7</v>
      </c>
      <c r="L59" s="32">
        <v>11</v>
      </c>
      <c r="M59" s="32">
        <v>13</v>
      </c>
      <c r="N59" s="32">
        <v>13</v>
      </c>
      <c r="O59" s="32">
        <v>7</v>
      </c>
      <c r="P59" s="32">
        <v>14</v>
      </c>
      <c r="Q59" s="32">
        <f t="shared" si="0"/>
        <v>114</v>
      </c>
      <c r="R59" s="32">
        <f t="shared" si="1"/>
        <v>9.5</v>
      </c>
      <c r="S59" s="32">
        <f t="shared" si="2"/>
        <v>3.5802488486391302</v>
      </c>
      <c r="T59" s="33" t="str">
        <f t="shared" si="3"/>
        <v>Ja</v>
      </c>
      <c r="U59" s="5">
        <f t="shared" si="4"/>
        <v>41952</v>
      </c>
      <c r="V59" s="34">
        <f t="shared" si="5"/>
        <v>7.475770236927584E-4</v>
      </c>
      <c r="W59" s="1">
        <f t="shared" si="8"/>
        <v>0.99825604564738979</v>
      </c>
      <c r="X59" s="35" t="str">
        <f t="shared" si="6"/>
        <v>C</v>
      </c>
      <c r="Y59" s="36">
        <f t="shared" si="7"/>
        <v>0.9</v>
      </c>
      <c r="Z59">
        <f>ROUND(SQRT(2*Q59*$F$2/(B59*$F$1)),0)</f>
        <v>25</v>
      </c>
      <c r="AA59">
        <f>ROUND(NORMSINV(Y59)*SQRT(D59)*S59,0)</f>
        <v>3</v>
      </c>
      <c r="AB59">
        <f>Z59/2+AA59</f>
        <v>15.5</v>
      </c>
      <c r="AC59" s="7">
        <f>AB59*B59*$F$1</f>
        <v>521.88499999999999</v>
      </c>
      <c r="AD59" s="7">
        <f>Q59*(1-Y59)*$F$3*(C59-B59)</f>
        <v>434.90999999999985</v>
      </c>
    </row>
    <row r="60" spans="1:30" x14ac:dyDescent="0.35">
      <c r="A60" s="32">
        <v>60176</v>
      </c>
      <c r="B60" s="5">
        <v>86</v>
      </c>
      <c r="C60" s="5">
        <v>124</v>
      </c>
      <c r="D60" s="23">
        <v>0.8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66</v>
      </c>
      <c r="N60" s="32">
        <v>78</v>
      </c>
      <c r="O60" s="32">
        <v>87</v>
      </c>
      <c r="P60" s="32">
        <v>83</v>
      </c>
      <c r="Q60" s="32">
        <f t="shared" si="0"/>
        <v>314</v>
      </c>
      <c r="R60" s="32">
        <f t="shared" si="1"/>
        <v>26.166666666666668</v>
      </c>
      <c r="S60" s="32">
        <f t="shared" si="2"/>
        <v>38.942459494941396</v>
      </c>
      <c r="T60" s="33" t="str">
        <f t="shared" si="3"/>
        <v>Nee</v>
      </c>
      <c r="U60" s="5">
        <f t="shared" si="4"/>
        <v>38936</v>
      </c>
      <c r="V60" s="34">
        <f t="shared" si="5"/>
        <v>6.9383245124192503E-4</v>
      </c>
      <c r="W60" s="1">
        <f t="shared" si="8"/>
        <v>0.99894987809863167</v>
      </c>
      <c r="X60" s="35" t="str">
        <f t="shared" si="6"/>
        <v>C</v>
      </c>
      <c r="Y60" s="36">
        <f t="shared" si="7"/>
        <v>0.9</v>
      </c>
    </row>
    <row r="61" spans="1:30" x14ac:dyDescent="0.35">
      <c r="A61" s="32">
        <v>62776</v>
      </c>
      <c r="B61" s="5">
        <v>46</v>
      </c>
      <c r="C61" s="5">
        <v>67</v>
      </c>
      <c r="D61" s="23">
        <v>1.3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98</v>
      </c>
      <c r="N61" s="32">
        <v>99</v>
      </c>
      <c r="O61" s="32">
        <v>103</v>
      </c>
      <c r="P61" s="32">
        <v>154</v>
      </c>
      <c r="Q61" s="32">
        <f t="shared" si="0"/>
        <v>454</v>
      </c>
      <c r="R61" s="32">
        <f t="shared" si="1"/>
        <v>37.833333333333336</v>
      </c>
      <c r="S61" s="32">
        <f t="shared" si="2"/>
        <v>57.64599384224897</v>
      </c>
      <c r="T61" s="33" t="str">
        <f t="shared" si="3"/>
        <v>Nee</v>
      </c>
      <c r="U61" s="5">
        <f t="shared" si="4"/>
        <v>30418</v>
      </c>
      <c r="V61" s="34">
        <f t="shared" si="5"/>
        <v>5.4204323766891501E-4</v>
      </c>
      <c r="W61" s="1">
        <f t="shared" si="8"/>
        <v>0.9994919213363006</v>
      </c>
      <c r="X61" s="35" t="str">
        <f t="shared" si="6"/>
        <v>C</v>
      </c>
      <c r="Y61" s="36">
        <f t="shared" si="7"/>
        <v>0.9</v>
      </c>
    </row>
    <row r="62" spans="1:30" x14ac:dyDescent="0.35">
      <c r="A62" s="32">
        <v>64495</v>
      </c>
      <c r="B62" s="5">
        <v>40</v>
      </c>
      <c r="C62" s="5">
        <v>56</v>
      </c>
      <c r="D62" s="23">
        <v>1.8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76</v>
      </c>
      <c r="N62" s="32">
        <v>56</v>
      </c>
      <c r="O62" s="32">
        <v>98</v>
      </c>
      <c r="P62" s="32">
        <v>77</v>
      </c>
      <c r="Q62" s="32">
        <f t="shared" si="0"/>
        <v>307</v>
      </c>
      <c r="R62" s="32">
        <f t="shared" si="1"/>
        <v>25.583333333333332</v>
      </c>
      <c r="S62" s="32">
        <f t="shared" si="2"/>
        <v>38.836389527286798</v>
      </c>
      <c r="T62" s="33" t="str">
        <f t="shared" si="3"/>
        <v>Nee</v>
      </c>
      <c r="U62" s="5">
        <f t="shared" si="4"/>
        <v>17192</v>
      </c>
      <c r="V62" s="34">
        <f t="shared" si="5"/>
        <v>3.063583188245114E-4</v>
      </c>
      <c r="W62" s="1">
        <f t="shared" si="8"/>
        <v>0.99979827965512513</v>
      </c>
      <c r="X62" s="35" t="str">
        <f t="shared" si="6"/>
        <v>C</v>
      </c>
      <c r="Y62" s="36">
        <f t="shared" si="7"/>
        <v>0.9</v>
      </c>
    </row>
    <row r="63" spans="1:30" x14ac:dyDescent="0.35">
      <c r="A63" s="32">
        <v>62068</v>
      </c>
      <c r="B63" s="5">
        <v>54</v>
      </c>
      <c r="C63" s="5">
        <v>74</v>
      </c>
      <c r="D63" s="23">
        <v>0.2</v>
      </c>
      <c r="E63" s="32">
        <v>7</v>
      </c>
      <c r="F63" s="32">
        <v>12</v>
      </c>
      <c r="G63" s="32">
        <v>4</v>
      </c>
      <c r="H63" s="32">
        <v>12</v>
      </c>
      <c r="I63" s="32">
        <v>5</v>
      </c>
      <c r="J63" s="32">
        <v>8</v>
      </c>
      <c r="K63" s="32">
        <v>9</v>
      </c>
      <c r="L63" s="32">
        <v>4</v>
      </c>
      <c r="M63" s="32">
        <v>12</v>
      </c>
      <c r="N63" s="32">
        <v>3</v>
      </c>
      <c r="O63" s="32">
        <v>4</v>
      </c>
      <c r="P63" s="32">
        <v>15</v>
      </c>
      <c r="Q63" s="32">
        <f t="shared" si="0"/>
        <v>95</v>
      </c>
      <c r="R63" s="32">
        <f t="shared" si="1"/>
        <v>7.916666666666667</v>
      </c>
      <c r="S63" s="32">
        <f t="shared" si="2"/>
        <v>4.0554863699647283</v>
      </c>
      <c r="T63" s="33" t="str">
        <f t="shared" si="3"/>
        <v>Ja</v>
      </c>
      <c r="U63" s="5">
        <f t="shared" si="4"/>
        <v>7030</v>
      </c>
      <c r="V63" s="34">
        <f t="shared" si="5"/>
        <v>1.252733237166307E-4</v>
      </c>
      <c r="W63" s="1">
        <f t="shared" si="8"/>
        <v>0.99992355297884172</v>
      </c>
      <c r="X63" s="35" t="str">
        <f t="shared" si="6"/>
        <v>C</v>
      </c>
      <c r="Y63" s="36">
        <f t="shared" si="7"/>
        <v>0.9</v>
      </c>
      <c r="Z63">
        <f>ROUND(SQRT(2*Q63*$F$2/(B63*$F$1)),0)</f>
        <v>51</v>
      </c>
      <c r="AA63">
        <f>ROUND(NORMSINV(Y63)*SQRT(D63)*S63,0)</f>
        <v>2</v>
      </c>
      <c r="AB63">
        <f>Z63/2+AA63</f>
        <v>27.5</v>
      </c>
      <c r="AC63" s="7">
        <f>AB63*B63*$F$1</f>
        <v>193.05</v>
      </c>
      <c r="AD63" s="7">
        <f>Q63*(1-Y63)*$F$3*(C63-B63)</f>
        <v>66.499999999999986</v>
      </c>
    </row>
    <row r="64" spans="1:30" x14ac:dyDescent="0.35">
      <c r="A64" s="32">
        <v>60482</v>
      </c>
      <c r="B64" s="5">
        <v>23</v>
      </c>
      <c r="C64" s="5">
        <v>33</v>
      </c>
      <c r="D64" s="23">
        <v>1.9</v>
      </c>
      <c r="E64" s="32">
        <v>14</v>
      </c>
      <c r="F64" s="32">
        <v>7</v>
      </c>
      <c r="G64" s="32">
        <v>10</v>
      </c>
      <c r="H64" s="32">
        <v>15</v>
      </c>
      <c r="I64" s="32">
        <v>8</v>
      </c>
      <c r="J64" s="32">
        <v>10</v>
      </c>
      <c r="K64" s="32">
        <v>11</v>
      </c>
      <c r="L64" s="32">
        <v>10</v>
      </c>
      <c r="M64" s="32">
        <v>11</v>
      </c>
      <c r="N64" s="32">
        <v>12</v>
      </c>
      <c r="O64" s="32">
        <v>11</v>
      </c>
      <c r="P64" s="32">
        <v>11</v>
      </c>
      <c r="Q64" s="32">
        <f t="shared" si="0"/>
        <v>130</v>
      </c>
      <c r="R64" s="32">
        <f t="shared" si="1"/>
        <v>10.833333333333334</v>
      </c>
      <c r="S64" s="32">
        <f t="shared" si="2"/>
        <v>2.2087978356535678</v>
      </c>
      <c r="T64" s="33" t="str">
        <f t="shared" si="3"/>
        <v>Ja</v>
      </c>
      <c r="U64" s="5">
        <f t="shared" si="4"/>
        <v>4290</v>
      </c>
      <c r="V64" s="34">
        <f t="shared" si="5"/>
        <v>7.6447021158512911E-5</v>
      </c>
      <c r="W64" s="1">
        <f t="shared" si="8"/>
        <v>1.0000000000000002</v>
      </c>
      <c r="X64" s="35" t="str">
        <f t="shared" si="6"/>
        <v>C</v>
      </c>
      <c r="Y64" s="36">
        <f t="shared" si="7"/>
        <v>0.9</v>
      </c>
      <c r="Z64">
        <f>ROUND(SQRT(2*Q64*$F$2/(B64*$F$1)),0)</f>
        <v>91</v>
      </c>
      <c r="AA64">
        <f>ROUND(NORMSINV(Y64)*SQRT(D64)*S64,0)</f>
        <v>4</v>
      </c>
      <c r="AB64">
        <f>Z64/2+AA64</f>
        <v>49.5</v>
      </c>
      <c r="AC64" s="7">
        <f>AB64*B64*$F$1</f>
        <v>148.005</v>
      </c>
      <c r="AD64" s="7">
        <f>Q64*(1-Y64)*$F$3*(C64-B64)</f>
        <v>45.499999999999979</v>
      </c>
    </row>
    <row r="65" spans="2:30" x14ac:dyDescent="0.35">
      <c r="B65" s="5"/>
      <c r="C65" s="5"/>
      <c r="D65" s="23"/>
    </row>
    <row r="66" spans="2:30" x14ac:dyDescent="0.35">
      <c r="R66" s="20"/>
      <c r="S66" s="20"/>
      <c r="T66" s="20" t="s">
        <v>107</v>
      </c>
      <c r="U66" s="5">
        <f>SUM(U6:U64)</f>
        <v>56117294.5</v>
      </c>
      <c r="AB66" s="20" t="s">
        <v>107</v>
      </c>
      <c r="AC66" s="5">
        <f>SUBTOTAL(9,AC6:AC64)</f>
        <v>151174.27000000005</v>
      </c>
      <c r="AD66" s="5">
        <f>SUBTOTAL(9,AD6:AD64)</f>
        <v>53466.806545106054</v>
      </c>
    </row>
    <row r="67" spans="2:30" x14ac:dyDescent="0.35">
      <c r="B67" s="5"/>
      <c r="C67" s="5"/>
      <c r="D67" s="23"/>
    </row>
    <row r="68" spans="2:30" x14ac:dyDescent="0.35">
      <c r="AB68" s="20" t="s">
        <v>108</v>
      </c>
      <c r="AD68" s="7">
        <f>AC66+AD66</f>
        <v>204641.0765451061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4C31EDA1036A48B8E3903A29994038" ma:contentTypeVersion="13" ma:contentTypeDescription="Een nieuw document maken." ma:contentTypeScope="" ma:versionID="e7c433ce1c80405890fcbd48f65a3fd7">
  <xsd:schema xmlns:xsd="http://www.w3.org/2001/XMLSchema" xmlns:xs="http://www.w3.org/2001/XMLSchema" xmlns:p="http://schemas.microsoft.com/office/2006/metadata/properties" xmlns:ns3="bfafc1bd-342f-4a7f-a842-7b82ff91502e" xmlns:ns4="466195d2-d289-472e-968a-161949322d6e" targetNamespace="http://schemas.microsoft.com/office/2006/metadata/properties" ma:root="true" ma:fieldsID="c8c8470bae022df99fda2241f7dd20d4" ns3:_="" ns4:_="">
    <xsd:import namespace="bfafc1bd-342f-4a7f-a842-7b82ff91502e"/>
    <xsd:import namespace="466195d2-d289-472e-968a-161949322d6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fc1bd-342f-4a7f-a842-7b82ff9150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195d2-d289-472e-968a-161949322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7992BA-042C-42BA-8411-A8B85628AB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FC2812-615B-4B06-8030-F484BABA2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fc1bd-342f-4a7f-a842-7b82ff91502e"/>
    <ds:schemaRef ds:uri="466195d2-d289-472e-968a-16194932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3C8B8-0F5D-4960-9AD0-D7634221FF83}">
  <ds:schemaRefs>
    <ds:schemaRef ds:uri="http://purl.org/dc/elements/1.1/"/>
    <ds:schemaRef ds:uri="bfafc1bd-342f-4a7f-a842-7b82ff91502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466195d2-d289-472e-968a-161949322d6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Opgave 7.1</vt:lpstr>
      <vt:lpstr>Opgave 7.2</vt:lpstr>
      <vt:lpstr>Opgave 7.3</vt:lpstr>
      <vt:lpstr>Opgave 7.4</vt:lpstr>
      <vt:lpstr>Opgave 7.5</vt:lpstr>
      <vt:lpstr>Opgave 7.6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Brethouwer</dc:creator>
  <cp:lastModifiedBy>S.C. Croes</cp:lastModifiedBy>
  <dcterms:created xsi:type="dcterms:W3CDTF">2018-12-02T11:47:29Z</dcterms:created>
  <dcterms:modified xsi:type="dcterms:W3CDTF">2022-01-12T19:53:10Z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0x010100E74C31EDA1036A48B8E3903A29994038</vt:lpwstr>
  </property>
</Properties>
</file>